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020" windowHeight="7860" activeTab="0"/>
  </bookViews>
  <sheets>
    <sheet name="Introduction" sheetId="1" r:id="rId1"/>
    <sheet name="Calc" sheetId="2" r:id="rId2"/>
    <sheet name="Droplet htc" sheetId="3" r:id="rId3"/>
    <sheet name="Figure 4" sheetId="4" r:id="rId4"/>
    <sheet name="Figure 5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with user-supplied gas film heat transfer coefficient calculated from steam velocity</t>
        </r>
      </text>
    </comment>
    <comment ref="L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Including CO2 if this gas is the inert</t>
        </r>
      </text>
    </comment>
    <comment ref="L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Provisional; assumung steam above saturation temperature</t>
        </r>
      </text>
    </comment>
    <comment ref="U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Provisional steam temperature, assuming above saturation.  Once saturation reached, reset to saturation T: see column i</t>
        </r>
      </text>
    </comment>
  </commentList>
</comments>
</file>

<file path=xl/sharedStrings.xml><?xml version="1.0" encoding="utf-8"?>
<sst xmlns="http://schemas.openxmlformats.org/spreadsheetml/2006/main" count="138" uniqueCount="113">
  <si>
    <t>m</t>
  </si>
  <si>
    <t>Cavity height H</t>
  </si>
  <si>
    <t xml:space="preserve">Lava temperature </t>
  </si>
  <si>
    <t>K</t>
  </si>
  <si>
    <t>Work with temperatures in Kelvin to avoid confusion!</t>
  </si>
  <si>
    <t>J/kgK</t>
  </si>
  <si>
    <t xml:space="preserve">Stefan Boltzmann σ </t>
  </si>
  <si>
    <t>W/m2K4</t>
  </si>
  <si>
    <t xml:space="preserve">Circulation mass flow rate </t>
  </si>
  <si>
    <t>kg/m3</t>
  </si>
  <si>
    <t xml:space="preserve">Driving ∆P </t>
  </si>
  <si>
    <t>Pa</t>
  </si>
  <si>
    <t>K for top bend</t>
  </si>
  <si>
    <t>K for other bends</t>
  </si>
  <si>
    <t xml:space="preserve">Frictional ∆P </t>
  </si>
  <si>
    <t>Width for flow/H</t>
  </si>
  <si>
    <t>m/s</t>
  </si>
  <si>
    <t>kg/sm</t>
  </si>
  <si>
    <t>Driving/frictional ratio</t>
  </si>
  <si>
    <t>Cavity aspect ratio (base/H)</t>
  </si>
  <si>
    <t>Delta H</t>
  </si>
  <si>
    <t xml:space="preserve">         H/m</t>
  </si>
  <si>
    <t xml:space="preserve">          T/K</t>
  </si>
  <si>
    <t>rho/ kg m-3</t>
  </si>
  <si>
    <t>Delta P in riser</t>
  </si>
  <si>
    <t>kW/m2</t>
  </si>
  <si>
    <t>epsilon g</t>
  </si>
  <si>
    <t>alpha g</t>
  </si>
  <si>
    <t>Path length pL</t>
  </si>
  <si>
    <t xml:space="preserve">        Rising limb</t>
  </si>
  <si>
    <t>Delta T/K</t>
  </si>
  <si>
    <t>mc</t>
  </si>
  <si>
    <t>Heat flux from CondInert</t>
  </si>
  <si>
    <t>Tmix</t>
  </si>
  <si>
    <t>T/K</t>
  </si>
  <si>
    <t>Delta T</t>
  </si>
  <si>
    <t>Riser sigma rho</t>
  </si>
  <si>
    <t>Descending limb (ice roof)</t>
  </si>
  <si>
    <t>Ice roof sigma rho</t>
  </si>
  <si>
    <t>"droplet ρ</t>
  </si>
  <si>
    <t>meltwater production</t>
  </si>
  <si>
    <t>rho gas</t>
  </si>
  <si>
    <t xml:space="preserve">rho </t>
  </si>
  <si>
    <t>W/m2K</t>
  </si>
  <si>
    <t xml:space="preserve">Evaluate convective heat transfer coefficient for single droplet </t>
  </si>
  <si>
    <t>373K</t>
  </si>
  <si>
    <t>500K</t>
  </si>
  <si>
    <t>600K</t>
  </si>
  <si>
    <t>700K</t>
  </si>
  <si>
    <t>850K</t>
  </si>
  <si>
    <t>1250K</t>
  </si>
  <si>
    <t>density</t>
  </si>
  <si>
    <t>viscosity</t>
  </si>
  <si>
    <t>Pa s</t>
  </si>
  <si>
    <t>th cond</t>
  </si>
  <si>
    <t>W/mK</t>
  </si>
  <si>
    <t>Temperature</t>
  </si>
  <si>
    <t>Droplet diameter</t>
  </si>
  <si>
    <t xml:space="preserve">Steam props </t>
  </si>
  <si>
    <t>Steam density</t>
  </si>
  <si>
    <t>Terminal velocity</t>
  </si>
  <si>
    <t>Steam thermal condy</t>
  </si>
  <si>
    <t>Steam viscosity</t>
  </si>
  <si>
    <t>Reynolds number</t>
  </si>
  <si>
    <t>Prandtl number</t>
  </si>
  <si>
    <t>Nusselt number</t>
  </si>
  <si>
    <t>Convective heat transfer coefficient</t>
  </si>
  <si>
    <t>Delta P in ice roof</t>
  </si>
  <si>
    <t>kg/sm2</t>
  </si>
  <si>
    <t>Delta A</t>
  </si>
  <si>
    <t>Droplet size</t>
  </si>
  <si>
    <t>Ut/ ms-1</t>
  </si>
  <si>
    <t>alpha</t>
  </si>
  <si>
    <t>radians</t>
  </si>
  <si>
    <t>Qradg</t>
  </si>
  <si>
    <r>
      <t xml:space="preserve">Ad </t>
    </r>
    <r>
      <rPr>
        <sz val="9"/>
        <rFont val="Arial"/>
        <family val="2"/>
      </rPr>
      <t>m2/m2</t>
    </r>
  </si>
  <si>
    <t>Channel width</t>
  </si>
  <si>
    <t>Tg prov</t>
  </si>
  <si>
    <t>Convective htc for single drop</t>
  </si>
  <si>
    <t xml:space="preserve"> riser top velocity</t>
  </si>
  <si>
    <t xml:space="preserve"> riser base velocity</t>
  </si>
  <si>
    <t>Qradgd</t>
  </si>
  <si>
    <t>(use to update CondInert)</t>
  </si>
  <si>
    <t>Qconvgd</t>
  </si>
  <si>
    <t>pLTs/Tg</t>
  </si>
  <si>
    <t>bara</t>
  </si>
  <si>
    <t>Pressure</t>
  </si>
  <si>
    <t xml:space="preserve">(2) Droplet htc: for estimation of the convective heat transfer coefficient for a single droplet </t>
  </si>
  <si>
    <t>(Update from Droplet htc)</t>
  </si>
  <si>
    <t xml:space="preserve">The circulation mass flow rate is a priori unknown.  In steady state, the frictional pressure drop is balanced by the "driving" pressure drop due to density difference </t>
  </si>
  <si>
    <t xml:space="preserve">The model must thus be iterated until these pressure differences are equal: this can be done using the Goal Seek option in Tools. </t>
  </si>
  <si>
    <t>Input data are in cells coloured blue</t>
  </si>
  <si>
    <t>Gas density at 1 bara, 373K</t>
  </si>
  <si>
    <t>Cavity total pressure</t>
  </si>
  <si>
    <t>Steam mole fraction</t>
  </si>
  <si>
    <t>Saturation temperature</t>
  </si>
  <si>
    <t>Steam + NC Cp</t>
  </si>
  <si>
    <t>Mole frn</t>
  </si>
  <si>
    <t>Heat flux (cond)</t>
  </si>
  <si>
    <t>NC = air</t>
  </si>
  <si>
    <t>NC =CO2</t>
  </si>
  <si>
    <t xml:space="preserve">(1) Calc:  this is the full model used to generate Table 1 in Woodcock et al. ( submitted to JGR 2015).  </t>
  </si>
  <si>
    <t>Sigma droplet rho</t>
  </si>
  <si>
    <t>Gas vely</t>
  </si>
  <si>
    <t>1 bara</t>
  </si>
  <si>
    <t>UPDATE</t>
  </si>
  <si>
    <t>Development of Figure 4</t>
  </si>
  <si>
    <t>This workbook contains four worksheets in addition to this introduction:</t>
  </si>
  <si>
    <t>(3) Figure 4: this records the development of Figure 4</t>
  </si>
  <si>
    <t>(3) Figure 5: this records the development of Figure 5</t>
  </si>
  <si>
    <t xml:space="preserve">Condensing heat flux </t>
  </si>
  <si>
    <t>Development of Figure 5</t>
  </si>
  <si>
    <t>Radiation-enhanced convection within subglacial cavity (lava fountaining in steam-filled, depressurised cavity)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</si>
</sst>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_-* #,##0.0_-;\-* #,##0.0_-;_-* &quot;-&quot;??_-;_-@_-"/>
    <numFmt numFmtId="176" formatCode="_-* #,##0_-;\-* #,##0_-;_-* &quot;-&quot;??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Alignment="1">
      <alignment/>
    </xf>
    <xf numFmtId="167" fontId="0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0" fillId="33" borderId="0" xfId="0" applyNumberFormat="1" applyFill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125"/>
          <c:w val="0.897"/>
          <c:h val="0.86825"/>
        </c:manualLayout>
      </c:layout>
      <c:scatterChart>
        <c:scatterStyle val="smoothMarker"/>
        <c:varyColors val="0"/>
        <c:ser>
          <c:idx val="0"/>
          <c:order val="0"/>
          <c:tx>
            <c:v>373K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4'!$B$9:$B$13</c:f>
              <c:numCache/>
            </c:numRef>
          </c:xVal>
          <c:yVal>
            <c:numRef>
              <c:f>'Figure 4'!$C$9:$C$13</c:f>
              <c:numCache/>
            </c:numRef>
          </c:yVal>
          <c:smooth val="1"/>
        </c:ser>
        <c:axId val="25737688"/>
        <c:axId val="30312601"/>
      </c:scatterChart>
      <c:valAx>
        <c:axId val="2573768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Circulation velocity (m/s)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 val="autoZero"/>
        <c:crossBetween val="midCat"/>
        <c:dispUnits/>
      </c:valAx>
      <c:valAx>
        <c:axId val="3031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flux (kW/m2)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4"/>
          <c:w val="0.69"/>
          <c:h val="0.894"/>
        </c:manualLayout>
      </c:layout>
      <c:scatterChart>
        <c:scatterStyle val="smoothMarker"/>
        <c:varyColors val="0"/>
        <c:ser>
          <c:idx val="1"/>
          <c:order val="0"/>
          <c:tx>
            <c:v>Condensation, air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5'!$B$6:$B$11</c:f>
              <c:numCache/>
            </c:numRef>
          </c:xVal>
          <c:yVal>
            <c:numRef>
              <c:f>'Figure 5'!$C$6:$C$11</c:f>
              <c:numCache/>
            </c:numRef>
          </c:yVal>
          <c:smooth val="1"/>
        </c:ser>
        <c:ser>
          <c:idx val="2"/>
          <c:order val="1"/>
          <c:tx>
            <c:v>Condensation, CO2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5'!$B$6:$B$11</c:f>
              <c:numCache/>
            </c:numRef>
          </c:xVal>
          <c:yVal>
            <c:numRef>
              <c:f>'Figure 5'!$D$6:$D$11</c:f>
              <c:numCache/>
            </c:numRef>
          </c:yVal>
          <c:smooth val="1"/>
        </c:ser>
        <c:axId val="4377954"/>
        <c:axId val="39401587"/>
      </c:scatterChart>
      <c:valAx>
        <c:axId val="43779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Non-condensable mole fraction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1587"/>
        <c:crosses val="autoZero"/>
        <c:crossBetween val="midCat"/>
        <c:dispUnits/>
      </c:val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flux at ice surface/ kW m-2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39625"/>
          <c:w val="0.233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133350</xdr:rowOff>
    </xdr:from>
    <xdr:to>
      <xdr:col>11</xdr:col>
      <xdr:colOff>352425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086100" y="1266825"/>
        <a:ext cx="3971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152400</xdr:rowOff>
    </xdr:from>
    <xdr:to>
      <xdr:col>15</xdr:col>
      <xdr:colOff>114300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086100" y="1285875"/>
        <a:ext cx="6172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18"/>
  <sheetViews>
    <sheetView tabSelected="1" zoomScalePageLayoutView="0" workbookViewId="0" topLeftCell="A1">
      <selection activeCell="C6" sqref="C6"/>
    </sheetView>
  </sheetViews>
  <sheetFormatPr defaultColWidth="9.140625" defaultRowHeight="12.75"/>
  <sheetData>
    <row r="4" ht="12.75">
      <c r="C4" s="1" t="s">
        <v>112</v>
      </c>
    </row>
    <row r="6" ht="12.75">
      <c r="C6" s="27" t="s">
        <v>105</v>
      </c>
    </row>
    <row r="8" ht="12.75">
      <c r="C8" t="s">
        <v>107</v>
      </c>
    </row>
    <row r="9" ht="12.75">
      <c r="C9" t="s">
        <v>101</v>
      </c>
    </row>
    <row r="10" ht="12.75">
      <c r="C10" t="s">
        <v>87</v>
      </c>
    </row>
    <row r="11" ht="12.75">
      <c r="C11" t="s">
        <v>108</v>
      </c>
    </row>
    <row r="12" ht="12.75">
      <c r="C12" t="s">
        <v>109</v>
      </c>
    </row>
    <row r="14" ht="12.75">
      <c r="C14" s="19" t="s">
        <v>89</v>
      </c>
    </row>
    <row r="15" ht="12.75">
      <c r="C15" t="s">
        <v>90</v>
      </c>
    </row>
    <row r="18" ht="12.75">
      <c r="C18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="82" zoomScaleNormal="82" zoomScalePageLayoutView="0" workbookViewId="0" topLeftCell="A1">
      <selection activeCell="W7" sqref="W7"/>
    </sheetView>
  </sheetViews>
  <sheetFormatPr defaultColWidth="9.140625" defaultRowHeight="12.75"/>
  <cols>
    <col min="1" max="1" width="9.57421875" style="0" customWidth="1"/>
    <col min="2" max="2" width="9.28125" style="0" bestFit="1" customWidth="1"/>
    <col min="3" max="3" width="9.8515625" style="0" customWidth="1"/>
    <col min="4" max="4" width="10.140625" style="0" customWidth="1"/>
    <col min="5" max="5" width="9.28125" style="0" bestFit="1" customWidth="1"/>
    <col min="6" max="6" width="9.28125" style="0" customWidth="1"/>
    <col min="7" max="7" width="9.28125" style="0" bestFit="1" customWidth="1"/>
    <col min="8" max="8" width="2.00390625" style="0" customWidth="1"/>
    <col min="9" max="9" width="10.140625" style="0" customWidth="1"/>
    <col min="10" max="12" width="9.28125" style="0" bestFit="1" customWidth="1"/>
    <col min="13" max="13" width="9.28125" style="0" customWidth="1"/>
    <col min="14" max="16" width="9.28125" style="0" bestFit="1" customWidth="1"/>
    <col min="17" max="19" width="8.421875" style="0" customWidth="1"/>
    <col min="23" max="23" width="9.28125" style="0" bestFit="1" customWidth="1"/>
    <col min="25" max="25" width="9.28125" style="0" bestFit="1" customWidth="1"/>
  </cols>
  <sheetData>
    <row r="1" ht="12.75">
      <c r="A1" s="31"/>
    </row>
    <row r="2" ht="12.75">
      <c r="B2" s="27"/>
    </row>
    <row r="3" ht="12.75">
      <c r="C3" s="1" t="s">
        <v>112</v>
      </c>
    </row>
    <row r="4" ht="12.75">
      <c r="E4" t="s">
        <v>4</v>
      </c>
    </row>
    <row r="7" spans="1:15" ht="12.75">
      <c r="A7" t="s">
        <v>1</v>
      </c>
      <c r="C7" s="2">
        <v>50</v>
      </c>
      <c r="D7" t="s">
        <v>0</v>
      </c>
      <c r="G7" t="s">
        <v>12</v>
      </c>
      <c r="J7" s="2">
        <f>0.4*1</f>
        <v>0.4</v>
      </c>
      <c r="L7" s="11" t="s">
        <v>19</v>
      </c>
      <c r="M7" s="11"/>
      <c r="N7" s="11"/>
      <c r="O7" s="14">
        <v>2</v>
      </c>
    </row>
    <row r="8" spans="1:16" ht="12.75">
      <c r="A8" t="s">
        <v>2</v>
      </c>
      <c r="C8" s="2">
        <v>973</v>
      </c>
      <c r="D8" t="s">
        <v>3</v>
      </c>
      <c r="G8" t="s">
        <v>13</v>
      </c>
      <c r="J8" s="2">
        <f>0.65*1</f>
        <v>0.65</v>
      </c>
      <c r="L8" t="s">
        <v>72</v>
      </c>
      <c r="O8" s="4">
        <f>ATAN(1/O7)</f>
        <v>0.4636476090008061</v>
      </c>
      <c r="P8" t="s">
        <v>73</v>
      </c>
    </row>
    <row r="9" spans="1:16" ht="12.75">
      <c r="A9" t="s">
        <v>96</v>
      </c>
      <c r="C9" s="2">
        <v>2000</v>
      </c>
      <c r="D9" t="s">
        <v>5</v>
      </c>
      <c r="G9" t="s">
        <v>15</v>
      </c>
      <c r="J9" s="2">
        <v>0.05</v>
      </c>
      <c r="L9" t="s">
        <v>93</v>
      </c>
      <c r="O9" s="2">
        <v>1</v>
      </c>
      <c r="P9" t="s">
        <v>85</v>
      </c>
    </row>
    <row r="10" spans="1:15" ht="12.75">
      <c r="A10" t="s">
        <v>6</v>
      </c>
      <c r="C10" s="33">
        <v>5.67E-08</v>
      </c>
      <c r="D10" t="s">
        <v>7</v>
      </c>
      <c r="G10" t="s">
        <v>76</v>
      </c>
      <c r="J10">
        <f>J9*C7</f>
        <v>2.5</v>
      </c>
      <c r="K10" t="s">
        <v>0</v>
      </c>
      <c r="L10" t="s">
        <v>94</v>
      </c>
      <c r="O10" s="2">
        <v>0.9</v>
      </c>
    </row>
    <row r="11" spans="3:16" ht="12.75">
      <c r="C11" s="33"/>
      <c r="L11" t="s">
        <v>28</v>
      </c>
      <c r="O11">
        <f>J9*C7*1.8*O9*O10</f>
        <v>4.05</v>
      </c>
      <c r="P11" t="s">
        <v>0</v>
      </c>
    </row>
    <row r="12" spans="3:16" ht="12.75">
      <c r="C12" s="33"/>
      <c r="L12" t="s">
        <v>92</v>
      </c>
      <c r="O12" s="2">
        <v>0.623</v>
      </c>
      <c r="P12" t="s">
        <v>9</v>
      </c>
    </row>
    <row r="13" spans="3:16" ht="12.75">
      <c r="C13" s="33"/>
      <c r="L13" t="s">
        <v>95</v>
      </c>
      <c r="O13" s="2">
        <v>370</v>
      </c>
      <c r="P13" t="s">
        <v>3</v>
      </c>
    </row>
    <row r="14" spans="5:10" ht="12.75">
      <c r="E14" t="s">
        <v>8</v>
      </c>
      <c r="I14" s="7">
        <v>16.512284285744542</v>
      </c>
      <c r="J14" t="s">
        <v>17</v>
      </c>
    </row>
    <row r="15" spans="16:24" ht="12.75">
      <c r="P15" s="8"/>
      <c r="Q15" s="8"/>
      <c r="R15" s="8"/>
      <c r="S15" s="8"/>
      <c r="T15" s="8"/>
      <c r="U15" s="9"/>
      <c r="V15" s="9"/>
      <c r="W15" s="26"/>
      <c r="X15" s="8"/>
    </row>
    <row r="16" ht="12.75">
      <c r="M16" s="12"/>
    </row>
    <row r="17" spans="4:25" ht="12.75">
      <c r="D17" s="12"/>
      <c r="H17" s="8"/>
      <c r="I17" s="19" t="s">
        <v>32</v>
      </c>
      <c r="J17" s="8"/>
      <c r="K17" s="9"/>
      <c r="L17" s="20">
        <v>211</v>
      </c>
      <c r="M17" t="s">
        <v>25</v>
      </c>
      <c r="P17" s="8"/>
      <c r="Q17" s="8"/>
      <c r="R17" s="8"/>
      <c r="S17" s="8"/>
      <c r="T17" s="8"/>
      <c r="U17" s="8"/>
      <c r="V17" s="8"/>
      <c r="W17" s="10"/>
      <c r="X17" s="8"/>
      <c r="Y17" s="8"/>
    </row>
    <row r="18" spans="1:29" ht="12.75">
      <c r="A18" s="11"/>
      <c r="B18" s="11"/>
      <c r="C18" s="11"/>
      <c r="D18" s="17"/>
      <c r="E18" s="11"/>
      <c r="F18" s="11"/>
      <c r="H18" s="8"/>
      <c r="I18" t="s">
        <v>40</v>
      </c>
      <c r="L18" s="4">
        <f>L17/(334+4.2*100)</f>
        <v>0.27984084880636606</v>
      </c>
      <c r="M18" t="s">
        <v>68</v>
      </c>
      <c r="P18" s="8"/>
      <c r="Q18" s="8"/>
      <c r="R18" s="8"/>
      <c r="S18" s="8"/>
      <c r="T18" s="8"/>
      <c r="U18" s="8"/>
      <c r="V18" s="8"/>
      <c r="W18" s="10"/>
      <c r="X18" s="8"/>
      <c r="Y18" s="8"/>
      <c r="Z18" s="8"/>
      <c r="AA18" s="8"/>
      <c r="AB18" s="8"/>
      <c r="AC18" s="9"/>
    </row>
    <row r="19" spans="1:29" ht="12.75">
      <c r="A19" s="11"/>
      <c r="B19" s="11"/>
      <c r="C19" s="11"/>
      <c r="D19" s="17"/>
      <c r="E19" s="11"/>
      <c r="F19" s="11"/>
      <c r="H19" s="8"/>
      <c r="I19" t="s">
        <v>70</v>
      </c>
      <c r="L19" s="30">
        <v>0.005</v>
      </c>
      <c r="M19" t="s">
        <v>0</v>
      </c>
      <c r="P19" s="8"/>
      <c r="Q19" s="8"/>
      <c r="R19" s="8"/>
      <c r="S19" s="8"/>
      <c r="T19" s="8"/>
      <c r="U19" s="8"/>
      <c r="V19" s="8"/>
      <c r="W19" s="10"/>
      <c r="X19" s="8"/>
      <c r="Y19" s="8"/>
      <c r="Z19" s="8"/>
      <c r="AA19" s="8"/>
      <c r="AB19" s="8"/>
      <c r="AC19" s="9"/>
    </row>
    <row r="20" spans="1:29" ht="12.75">
      <c r="A20" s="11"/>
      <c r="B20" s="11"/>
      <c r="C20" s="11"/>
      <c r="D20" s="17"/>
      <c r="E20" s="11"/>
      <c r="F20" s="11"/>
      <c r="H20" s="8"/>
      <c r="I20" s="11" t="s">
        <v>78</v>
      </c>
      <c r="J20" s="8"/>
      <c r="K20" s="9"/>
      <c r="L20" s="20">
        <v>184</v>
      </c>
      <c r="M20" t="s">
        <v>43</v>
      </c>
      <c r="N20" t="s">
        <v>88</v>
      </c>
      <c r="P20" s="8"/>
      <c r="Q20" s="8"/>
      <c r="R20" s="8"/>
      <c r="S20" s="8"/>
      <c r="T20" s="8"/>
      <c r="U20" s="8"/>
      <c r="V20" s="8"/>
      <c r="W20" s="10"/>
      <c r="X20" s="8"/>
      <c r="Y20" s="8"/>
      <c r="Z20" s="8"/>
      <c r="AA20" s="8"/>
      <c r="AB20" s="8"/>
      <c r="AC20" s="9"/>
    </row>
    <row r="21" spans="1:29" ht="12.75">
      <c r="A21" s="11"/>
      <c r="B21" s="11"/>
      <c r="C21" s="11"/>
      <c r="D21" s="17"/>
      <c r="E21" s="11"/>
      <c r="F21" s="11"/>
      <c r="H21" s="8"/>
      <c r="I21" s="11"/>
      <c r="J21" s="8"/>
      <c r="K21" s="9"/>
      <c r="L21" s="29"/>
      <c r="M21" s="29"/>
      <c r="P21" s="8"/>
      <c r="Q21" s="8"/>
      <c r="R21" s="8"/>
      <c r="S21" s="8"/>
      <c r="T21" s="8"/>
      <c r="U21" s="8"/>
      <c r="V21" s="8"/>
      <c r="W21" s="10"/>
      <c r="X21" s="8"/>
      <c r="Y21" s="8"/>
      <c r="Z21" s="8"/>
      <c r="AA21" s="8"/>
      <c r="AB21" s="8"/>
      <c r="AC21" s="9"/>
    </row>
    <row r="22" spans="4:29" ht="12.75">
      <c r="D22" s="12"/>
      <c r="H22" s="8"/>
      <c r="I22" s="11"/>
      <c r="J22" s="11"/>
      <c r="K22" s="18"/>
      <c r="L22" s="11"/>
      <c r="M22" s="11">
        <v>5</v>
      </c>
      <c r="P22" s="8"/>
      <c r="Q22" s="8"/>
      <c r="R22" s="8"/>
      <c r="S22" s="8"/>
      <c r="T22" s="8"/>
      <c r="U22" s="8"/>
      <c r="V22" s="8"/>
      <c r="W22" s="10"/>
      <c r="X22" s="8"/>
      <c r="Y22" s="8"/>
      <c r="Z22" s="8"/>
      <c r="AA22" s="8"/>
      <c r="AB22" s="8"/>
      <c r="AC22" s="9"/>
    </row>
    <row r="23" spans="1:29" ht="12.75">
      <c r="A23" t="s">
        <v>20</v>
      </c>
      <c r="B23" s="12">
        <f>C7/20</f>
        <v>2.5</v>
      </c>
      <c r="C23" t="s">
        <v>0</v>
      </c>
      <c r="I23" s="11" t="s">
        <v>69</v>
      </c>
      <c r="J23" s="5">
        <f>B23*(1+O7*O7)^0.5</f>
        <v>5.5901699437494745</v>
      </c>
      <c r="L23" s="8"/>
      <c r="M23" s="8"/>
      <c r="Y23" s="8"/>
      <c r="Z23" s="8"/>
      <c r="AA23" s="8"/>
      <c r="AB23" s="8"/>
      <c r="AC23" s="8"/>
    </row>
    <row r="24" spans="2:29" ht="12.75">
      <c r="B24" s="12"/>
      <c r="C24" t="s">
        <v>29</v>
      </c>
      <c r="J24" t="s">
        <v>37</v>
      </c>
      <c r="L24" s="8"/>
      <c r="M24" s="8"/>
      <c r="Y24" s="8"/>
      <c r="Z24" s="8"/>
      <c r="AA24" s="8"/>
      <c r="AB24" s="8"/>
      <c r="AC24" s="8"/>
    </row>
    <row r="25" spans="1:29" ht="12.75">
      <c r="A25" t="s">
        <v>21</v>
      </c>
      <c r="B25" t="s">
        <v>30</v>
      </c>
      <c r="C25" t="s">
        <v>22</v>
      </c>
      <c r="D25" t="s">
        <v>23</v>
      </c>
      <c r="E25" t="s">
        <v>26</v>
      </c>
      <c r="F25" t="s">
        <v>84</v>
      </c>
      <c r="G25" t="s">
        <v>27</v>
      </c>
      <c r="I25" t="s">
        <v>34</v>
      </c>
      <c r="J25" t="s">
        <v>31</v>
      </c>
      <c r="K25" t="s">
        <v>33</v>
      </c>
      <c r="L25" s="11" t="s">
        <v>35</v>
      </c>
      <c r="M25" s="19" t="s">
        <v>71</v>
      </c>
      <c r="N25" t="s">
        <v>41</v>
      </c>
      <c r="O25" t="s">
        <v>39</v>
      </c>
      <c r="P25" t="s">
        <v>42</v>
      </c>
      <c r="Q25" t="s">
        <v>74</v>
      </c>
      <c r="R25" t="s">
        <v>75</v>
      </c>
      <c r="S25" t="s">
        <v>81</v>
      </c>
      <c r="T25" t="s">
        <v>83</v>
      </c>
      <c r="U25" t="s">
        <v>77</v>
      </c>
      <c r="W25" t="s">
        <v>36</v>
      </c>
      <c r="Y25" s="4">
        <f>SUM(D26:D45)</f>
        <v>12.155308949178771</v>
      </c>
      <c r="Z25" t="s">
        <v>9</v>
      </c>
      <c r="AB25" s="8"/>
      <c r="AC25" s="8"/>
    </row>
    <row r="26" spans="1:29" ht="12.75">
      <c r="A26">
        <f>C7</f>
        <v>50</v>
      </c>
      <c r="B26" s="6">
        <f aca="true" t="shared" si="0" ref="B26:B45">$B$23*$C$10*(G26*$C$8^4-2*E26*C27^4)/($I$14*$C$9)</f>
        <v>1.1826415887996582</v>
      </c>
      <c r="C26" s="6">
        <f aca="true" t="shared" si="1" ref="C26:C45">C27+B26</f>
        <v>393.73277706866963</v>
      </c>
      <c r="D26" s="4">
        <f aca="true" t="shared" si="2" ref="D26:D46">$O$9*$O$12*373/C26</f>
        <v>0.5901947044644229</v>
      </c>
      <c r="E26" s="4">
        <f aca="true" t="shared" si="3" ref="E26:E45">0.6-0.06*LN(6.1/$O$11)/0.693</f>
        <v>0.5645392302977646</v>
      </c>
      <c r="F26" s="6">
        <f aca="true" t="shared" si="4" ref="F26:F45">$O$11*$C$8/C27</f>
        <v>10.038590345110393</v>
      </c>
      <c r="G26" s="4">
        <f>(0.45-(0.08/0.693)*LN(6.1/F26))*(C27/$C$8)^0.45</f>
        <v>0.33732103944562547</v>
      </c>
      <c r="I26" s="6">
        <f>IF(U26&gt;$O$13,U26,$O$13)</f>
        <v>393.73277706866963</v>
      </c>
      <c r="J26" s="4">
        <f>$L$17/(2258+2*(I26-373))</f>
        <v>0.0917604526061962</v>
      </c>
      <c r="K26" s="6">
        <f>(($I$14-J26*$J$23)*I26+J26*$J$23*373)/$I$14</f>
        <v>393.0887103194672</v>
      </c>
      <c r="L26" s="18">
        <f>$J$23*(1000*$L$17+Q26+S26+T26)/($I$14*$C$9)</f>
        <v>35.90217037983071</v>
      </c>
      <c r="M26" s="13">
        <f>(4*1000*9.81*$L$19/(3*N26*0.5))^0.5</f>
        <v>14.88696672900147</v>
      </c>
      <c r="N26" s="4">
        <f aca="true" t="shared" si="5" ref="N26:N45">$O$9*$O$12*373/I26</f>
        <v>0.5901947044644229</v>
      </c>
      <c r="O26" s="4">
        <f aca="true" t="shared" si="6" ref="O26:O45">(J26+$L$18)/(M26*COS($O$8))</f>
        <v>0.02790782654424631</v>
      </c>
      <c r="P26" s="4">
        <f aca="true" t="shared" si="7" ref="P26:P45">N26+O26</f>
        <v>0.6181025310086692</v>
      </c>
      <c r="Q26" s="22">
        <f>$C$10*E26*K26^4</f>
        <v>764.2570773454303</v>
      </c>
      <c r="R26" s="4">
        <f>6*$J$10*O26/(1000*$L$19)</f>
        <v>0.08372347963273893</v>
      </c>
      <c r="S26" s="6">
        <f>R26*$C$10*E26*(I26^4-373^4)</f>
        <v>12.531453846599863</v>
      </c>
      <c r="T26" s="22">
        <f>$L$20*(I26-373)*R26</f>
        <v>319.39092390955375</v>
      </c>
      <c r="U26" s="6">
        <f>C26</f>
        <v>393.73277706866963</v>
      </c>
      <c r="W26" t="s">
        <v>24</v>
      </c>
      <c r="Y26" s="5">
        <f>9.81*B23*Y25</f>
        <v>298.10895197860935</v>
      </c>
      <c r="Z26" t="s">
        <v>11</v>
      </c>
      <c r="AC26" s="8"/>
    </row>
    <row r="27" spans="1:29" ht="12.75">
      <c r="A27">
        <f aca="true" t="shared" si="8" ref="A27:A46">A26-$B$23</f>
        <v>47.5</v>
      </c>
      <c r="B27" s="6">
        <f t="shared" si="0"/>
        <v>1.1831509735310608</v>
      </c>
      <c r="C27" s="6">
        <f t="shared" si="1"/>
        <v>392.55013547987</v>
      </c>
      <c r="D27" s="4">
        <f t="shared" si="2"/>
        <v>0.5919727927642414</v>
      </c>
      <c r="E27" s="4">
        <f t="shared" si="3"/>
        <v>0.5645392302977646</v>
      </c>
      <c r="F27" s="6">
        <f t="shared" si="4"/>
        <v>10.068938249787836</v>
      </c>
      <c r="G27" s="4">
        <f aca="true" t="shared" si="9" ref="G27:G45">(0.45-(0.08/0.693)*LN(6.1/F27))*(C28/$C$8)^0.45</f>
        <v>0.33709444581164344</v>
      </c>
      <c r="I27" s="6">
        <f>IF(U27&gt;$O$13,U27,$O$13)</f>
        <v>370</v>
      </c>
      <c r="J27" s="4">
        <f aca="true" t="shared" si="10" ref="J27:J45">$L$17/(2258+2*(I27-373))</f>
        <v>0.09369449378330373</v>
      </c>
      <c r="K27" s="6">
        <f aca="true" t="shared" si="11" ref="K27:K45">(($I$14-J27*$J$23)*I27+J27*$J$23*373)/$I$14</f>
        <v>370.0951597248409</v>
      </c>
      <c r="L27" s="18">
        <f aca="true" t="shared" si="12" ref="L27:L45">$J$23*(1000*$L$17+Q27+S27+T27)/($I$14*$C$9)</f>
        <v>35.809867929946506</v>
      </c>
      <c r="M27" s="13">
        <f aca="true" t="shared" si="13" ref="M27:M45">(4*1000*9.81*$L$19/(3*N27*0.5))^0.5</f>
        <v>14.43132790710344</v>
      </c>
      <c r="N27" s="4">
        <f t="shared" si="5"/>
        <v>0.6280513513513514</v>
      </c>
      <c r="O27" s="4">
        <f t="shared" si="6"/>
        <v>0.028938792861121394</v>
      </c>
      <c r="P27" s="4">
        <f t="shared" si="7"/>
        <v>0.6569901442124728</v>
      </c>
      <c r="Q27" s="22">
        <f aca="true" t="shared" si="14" ref="Q27:Q45">$C$10*E27*K27^4</f>
        <v>600.5246055004254</v>
      </c>
      <c r="R27" s="4">
        <f aca="true" t="shared" si="15" ref="R27:R45">6*$J$10*O27/(1000*$L$19)</f>
        <v>0.08681637858336419</v>
      </c>
      <c r="S27" s="6">
        <f aca="true" t="shared" si="16" ref="S27:S45">R27*$C$10*E27*(I27^4-373^4)</f>
        <v>-1.7097933835926091</v>
      </c>
      <c r="T27" s="22">
        <f aca="true" t="shared" si="17" ref="T27:T45">$L$20*(I27-373)*R27</f>
        <v>-47.922640978017036</v>
      </c>
      <c r="U27" s="6">
        <f>K26-L26</f>
        <v>357.18653993963653</v>
      </c>
      <c r="W27" t="s">
        <v>38</v>
      </c>
      <c r="Y27" s="4">
        <f>SUM(P26:P45)</f>
        <v>13.100915271045656</v>
      </c>
      <c r="Z27" t="s">
        <v>9</v>
      </c>
      <c r="AB27" s="8"/>
      <c r="AC27" s="8"/>
    </row>
    <row r="28" spans="1:29" ht="12.75">
      <c r="A28">
        <f t="shared" si="8"/>
        <v>45</v>
      </c>
      <c r="B28" s="6">
        <f t="shared" si="0"/>
        <v>1.1836454283732933</v>
      </c>
      <c r="C28" s="6">
        <f t="shared" si="1"/>
        <v>391.36698450633895</v>
      </c>
      <c r="D28" s="4">
        <f t="shared" si="2"/>
        <v>0.5937623999968147</v>
      </c>
      <c r="E28" s="4">
        <f t="shared" si="3"/>
        <v>0.5645392302977646</v>
      </c>
      <c r="F28" s="6">
        <f t="shared" si="4"/>
        <v>10.099483000253342</v>
      </c>
      <c r="G28" s="4">
        <f t="shared" si="9"/>
        <v>0.33686706457518406</v>
      </c>
      <c r="I28" s="6">
        <f aca="true" t="shared" si="18" ref="I28:I45">IF(U28&gt;$O$13,U28,$O$13)</f>
        <v>370</v>
      </c>
      <c r="J28" s="4">
        <f t="shared" si="10"/>
        <v>0.09369449378330373</v>
      </c>
      <c r="K28" s="6">
        <f t="shared" si="11"/>
        <v>370.0951597248409</v>
      </c>
      <c r="L28" s="18">
        <f t="shared" si="12"/>
        <v>35.809867929946506</v>
      </c>
      <c r="M28" s="13">
        <f t="shared" si="13"/>
        <v>14.43132790710344</v>
      </c>
      <c r="N28" s="4">
        <f t="shared" si="5"/>
        <v>0.6280513513513514</v>
      </c>
      <c r="O28" s="4">
        <f t="shared" si="6"/>
        <v>0.028938792861121394</v>
      </c>
      <c r="P28" s="4">
        <f t="shared" si="7"/>
        <v>0.6569901442124728</v>
      </c>
      <c r="Q28" s="22">
        <f t="shared" si="14"/>
        <v>600.5246055004254</v>
      </c>
      <c r="R28" s="4">
        <f t="shared" si="15"/>
        <v>0.08681637858336419</v>
      </c>
      <c r="S28" s="6">
        <f t="shared" si="16"/>
        <v>-1.7097933835926091</v>
      </c>
      <c r="T28" s="22">
        <f t="shared" si="17"/>
        <v>-47.922640978017036</v>
      </c>
      <c r="U28" s="6">
        <f aca="true" t="shared" si="19" ref="U28:U45">K27-L27</f>
        <v>334.2852917948944</v>
      </c>
      <c r="W28" t="s">
        <v>102</v>
      </c>
      <c r="Y28" s="4">
        <f>SUM(O26:O45)</f>
        <v>0.5777448909055528</v>
      </c>
      <c r="Z28" t="s">
        <v>9</v>
      </c>
      <c r="AB28" s="8"/>
      <c r="AC28" s="8"/>
    </row>
    <row r="29" spans="1:29" ht="12.75">
      <c r="A29">
        <f t="shared" si="8"/>
        <v>42.5</v>
      </c>
      <c r="B29" s="6">
        <f t="shared" si="0"/>
        <v>1.1841249892403094</v>
      </c>
      <c r="C29" s="6">
        <f t="shared" si="1"/>
        <v>390.1833390779657</v>
      </c>
      <c r="D29" s="4">
        <f t="shared" si="2"/>
        <v>0.5955636151690384</v>
      </c>
      <c r="E29" s="4">
        <f t="shared" si="3"/>
        <v>0.5645392302977646</v>
      </c>
      <c r="F29" s="6">
        <f t="shared" si="4"/>
        <v>10.130226122002375</v>
      </c>
      <c r="G29" s="4">
        <f t="shared" si="9"/>
        <v>0.3366388939502919</v>
      </c>
      <c r="I29" s="6">
        <f t="shared" si="18"/>
        <v>370</v>
      </c>
      <c r="J29" s="4">
        <f t="shared" si="10"/>
        <v>0.09369449378330373</v>
      </c>
      <c r="K29" s="6">
        <f t="shared" si="11"/>
        <v>370.0951597248409</v>
      </c>
      <c r="L29" s="18">
        <f t="shared" si="12"/>
        <v>35.809867929946506</v>
      </c>
      <c r="M29" s="13">
        <f t="shared" si="13"/>
        <v>14.43132790710344</v>
      </c>
      <c r="N29" s="4">
        <f t="shared" si="5"/>
        <v>0.6280513513513514</v>
      </c>
      <c r="O29" s="4">
        <f t="shared" si="6"/>
        <v>0.028938792861121394</v>
      </c>
      <c r="P29" s="4">
        <f t="shared" si="7"/>
        <v>0.6569901442124728</v>
      </c>
      <c r="Q29" s="22">
        <f t="shared" si="14"/>
        <v>600.5246055004254</v>
      </c>
      <c r="R29" s="4">
        <f t="shared" si="15"/>
        <v>0.08681637858336419</v>
      </c>
      <c r="S29" s="6">
        <f t="shared" si="16"/>
        <v>-1.7097933835926091</v>
      </c>
      <c r="T29" s="22">
        <f t="shared" si="17"/>
        <v>-47.922640978017036</v>
      </c>
      <c r="U29" s="6">
        <f t="shared" si="19"/>
        <v>334.2852917948944</v>
      </c>
      <c r="W29" t="s">
        <v>67</v>
      </c>
      <c r="Y29" s="5">
        <f>9.81*B23*(Y27+Y28)</f>
        <v>335.46914047185345</v>
      </c>
      <c r="Z29" t="s">
        <v>11</v>
      </c>
      <c r="AB29" s="8"/>
      <c r="AC29" s="8"/>
    </row>
    <row r="30" spans="1:29" ht="12.75">
      <c r="A30">
        <f t="shared" si="8"/>
        <v>40</v>
      </c>
      <c r="B30" s="6">
        <f t="shared" si="0"/>
        <v>1.1845896926081667</v>
      </c>
      <c r="C30" s="6">
        <f t="shared" si="1"/>
        <v>388.99921408872535</v>
      </c>
      <c r="D30" s="4">
        <f t="shared" si="2"/>
        <v>0.5973765282389428</v>
      </c>
      <c r="E30" s="4">
        <f t="shared" si="3"/>
        <v>0.5645392302977646</v>
      </c>
      <c r="F30" s="6">
        <f t="shared" si="4"/>
        <v>10.161169156877863</v>
      </c>
      <c r="G30" s="4">
        <f t="shared" si="9"/>
        <v>0.3364099321374861</v>
      </c>
      <c r="I30" s="6">
        <f t="shared" si="18"/>
        <v>370</v>
      </c>
      <c r="J30" s="4">
        <f t="shared" si="10"/>
        <v>0.09369449378330373</v>
      </c>
      <c r="K30" s="6">
        <f t="shared" si="11"/>
        <v>370.0951597248409</v>
      </c>
      <c r="L30" s="18">
        <f t="shared" si="12"/>
        <v>35.809867929946506</v>
      </c>
      <c r="M30" s="13">
        <f t="shared" si="13"/>
        <v>14.43132790710344</v>
      </c>
      <c r="N30" s="4">
        <f t="shared" si="5"/>
        <v>0.6280513513513514</v>
      </c>
      <c r="O30" s="4">
        <f t="shared" si="6"/>
        <v>0.028938792861121394</v>
      </c>
      <c r="P30" s="4">
        <f t="shared" si="7"/>
        <v>0.6569901442124728</v>
      </c>
      <c r="Q30" s="22">
        <f t="shared" si="14"/>
        <v>600.5246055004254</v>
      </c>
      <c r="R30" s="4">
        <f t="shared" si="15"/>
        <v>0.08681637858336419</v>
      </c>
      <c r="S30" s="6">
        <f t="shared" si="16"/>
        <v>-1.7097933835926091</v>
      </c>
      <c r="T30" s="22">
        <f t="shared" si="17"/>
        <v>-47.922640978017036</v>
      </c>
      <c r="U30" s="6">
        <f t="shared" si="19"/>
        <v>334.2852917948944</v>
      </c>
      <c r="Y30" s="12"/>
      <c r="AB30" s="8"/>
      <c r="AC30" s="8"/>
    </row>
    <row r="31" spans="1:29" ht="12.75">
      <c r="A31">
        <f t="shared" si="8"/>
        <v>37.5</v>
      </c>
      <c r="B31" s="6">
        <f t="shared" si="0"/>
        <v>1.185039575503404</v>
      </c>
      <c r="C31" s="6">
        <f t="shared" si="1"/>
        <v>387.8146243961172</v>
      </c>
      <c r="D31" s="4">
        <f t="shared" si="2"/>
        <v>0.5992012301285629</v>
      </c>
      <c r="E31" s="4">
        <f t="shared" si="3"/>
        <v>0.5645392302977646</v>
      </c>
      <c r="F31" s="6">
        <f t="shared" si="4"/>
        <v>10.192313663291856</v>
      </c>
      <c r="G31" s="4">
        <f t="shared" si="9"/>
        <v>0.3361801773235573</v>
      </c>
      <c r="I31" s="6">
        <f t="shared" si="18"/>
        <v>370</v>
      </c>
      <c r="J31" s="4">
        <f t="shared" si="10"/>
        <v>0.09369449378330373</v>
      </c>
      <c r="K31" s="6">
        <f t="shared" si="11"/>
        <v>370.0951597248409</v>
      </c>
      <c r="L31" s="18">
        <f t="shared" si="12"/>
        <v>35.809867929946506</v>
      </c>
      <c r="M31" s="13">
        <f t="shared" si="13"/>
        <v>14.43132790710344</v>
      </c>
      <c r="N31" s="4">
        <f t="shared" si="5"/>
        <v>0.6280513513513514</v>
      </c>
      <c r="O31" s="4">
        <f t="shared" si="6"/>
        <v>0.028938792861121394</v>
      </c>
      <c r="P31" s="4">
        <f t="shared" si="7"/>
        <v>0.6569901442124728</v>
      </c>
      <c r="Q31" s="22">
        <f t="shared" si="14"/>
        <v>600.5246055004254</v>
      </c>
      <c r="R31" s="4">
        <f t="shared" si="15"/>
        <v>0.08681637858336419</v>
      </c>
      <c r="S31" s="6">
        <f t="shared" si="16"/>
        <v>-1.7097933835926091</v>
      </c>
      <c r="T31" s="22">
        <f t="shared" si="17"/>
        <v>-47.922640978017036</v>
      </c>
      <c r="U31" s="6">
        <f t="shared" si="19"/>
        <v>334.2852917948944</v>
      </c>
      <c r="W31" s="11" t="s">
        <v>10</v>
      </c>
      <c r="X31" s="11"/>
      <c r="Y31" s="13">
        <f>Y29-Y26</f>
        <v>37.360188493244095</v>
      </c>
      <c r="Z31" s="11" t="s">
        <v>11</v>
      </c>
      <c r="AB31" s="8"/>
      <c r="AC31" s="8"/>
    </row>
    <row r="32" spans="1:29" ht="12.75">
      <c r="A32">
        <f t="shared" si="8"/>
        <v>35</v>
      </c>
      <c r="B32" s="6">
        <f t="shared" si="0"/>
        <v>1.1854746754914127</v>
      </c>
      <c r="C32" s="6">
        <f t="shared" si="1"/>
        <v>386.6295848206138</v>
      </c>
      <c r="D32" s="4">
        <f t="shared" si="2"/>
        <v>0.60103781273701</v>
      </c>
      <c r="E32" s="4">
        <f t="shared" si="3"/>
        <v>0.5645392302977646</v>
      </c>
      <c r="F32" s="6">
        <f t="shared" si="4"/>
        <v>10.223661216450598</v>
      </c>
      <c r="G32" s="4">
        <f t="shared" si="9"/>
        <v>0.33594962768136294</v>
      </c>
      <c r="I32" s="6">
        <f t="shared" si="18"/>
        <v>370</v>
      </c>
      <c r="J32" s="4">
        <f t="shared" si="10"/>
        <v>0.09369449378330373</v>
      </c>
      <c r="K32" s="6">
        <f t="shared" si="11"/>
        <v>370.0951597248409</v>
      </c>
      <c r="L32" s="18">
        <f t="shared" si="12"/>
        <v>35.809867929946506</v>
      </c>
      <c r="M32" s="13">
        <f t="shared" si="13"/>
        <v>14.43132790710344</v>
      </c>
      <c r="N32" s="4">
        <f t="shared" si="5"/>
        <v>0.6280513513513514</v>
      </c>
      <c r="O32" s="4">
        <f t="shared" si="6"/>
        <v>0.028938792861121394</v>
      </c>
      <c r="P32" s="4">
        <f t="shared" si="7"/>
        <v>0.6569901442124728</v>
      </c>
      <c r="Q32" s="22">
        <f t="shared" si="14"/>
        <v>600.5246055004254</v>
      </c>
      <c r="R32" s="4">
        <f t="shared" si="15"/>
        <v>0.08681637858336419</v>
      </c>
      <c r="S32" s="6">
        <f t="shared" si="16"/>
        <v>-1.7097933835926091</v>
      </c>
      <c r="T32" s="22">
        <f t="shared" si="17"/>
        <v>-47.922640978017036</v>
      </c>
      <c r="U32" s="6">
        <f t="shared" si="19"/>
        <v>334.2852917948944</v>
      </c>
      <c r="W32" s="11" t="s">
        <v>14</v>
      </c>
      <c r="X32" s="11"/>
      <c r="Y32" s="13">
        <f>(I14*I14/(2*J9*J9*C7*C7))*(J7/D26+J8/D46)</f>
        <v>37.35794490814673</v>
      </c>
      <c r="Z32" s="11" t="s">
        <v>11</v>
      </c>
      <c r="AB32" s="8"/>
      <c r="AC32" s="8"/>
    </row>
    <row r="33" spans="1:29" ht="12.75">
      <c r="A33">
        <f t="shared" si="8"/>
        <v>32.5</v>
      </c>
      <c r="B33" s="6">
        <f t="shared" si="0"/>
        <v>1.1858950306648042</v>
      </c>
      <c r="C33" s="6">
        <f t="shared" si="1"/>
        <v>385.44411014512235</v>
      </c>
      <c r="D33" s="4">
        <f t="shared" si="2"/>
        <v>0.6028863689537446</v>
      </c>
      <c r="E33" s="4">
        <f t="shared" si="3"/>
        <v>0.5645392302977646</v>
      </c>
      <c r="F33" s="6">
        <f t="shared" si="4"/>
        <v>10.255213408583115</v>
      </c>
      <c r="G33" s="4">
        <f t="shared" si="9"/>
        <v>0.33571828136962156</v>
      </c>
      <c r="I33" s="6">
        <f t="shared" si="18"/>
        <v>370</v>
      </c>
      <c r="J33" s="4">
        <f t="shared" si="10"/>
        <v>0.09369449378330373</v>
      </c>
      <c r="K33" s="6">
        <f t="shared" si="11"/>
        <v>370.0951597248409</v>
      </c>
      <c r="L33" s="18">
        <f t="shared" si="12"/>
        <v>35.809867929946506</v>
      </c>
      <c r="M33" s="13">
        <f t="shared" si="13"/>
        <v>14.43132790710344</v>
      </c>
      <c r="N33" s="4">
        <f t="shared" si="5"/>
        <v>0.6280513513513514</v>
      </c>
      <c r="O33" s="4">
        <f t="shared" si="6"/>
        <v>0.028938792861121394</v>
      </c>
      <c r="P33" s="4">
        <f t="shared" si="7"/>
        <v>0.6569901442124728</v>
      </c>
      <c r="Q33" s="22">
        <f t="shared" si="14"/>
        <v>600.5246055004254</v>
      </c>
      <c r="R33" s="4">
        <f t="shared" si="15"/>
        <v>0.08681637858336419</v>
      </c>
      <c r="S33" s="6">
        <f t="shared" si="16"/>
        <v>-1.7097933835926091</v>
      </c>
      <c r="T33" s="22">
        <f t="shared" si="17"/>
        <v>-47.922640978017036</v>
      </c>
      <c r="U33" s="6">
        <f t="shared" si="19"/>
        <v>334.2852917948944</v>
      </c>
      <c r="W33" s="11" t="s">
        <v>18</v>
      </c>
      <c r="X33" s="11"/>
      <c r="Y33" s="16">
        <f>Y31/Y32</f>
        <v>1.000060056437871</v>
      </c>
      <c r="AA33" s="11"/>
      <c r="AB33" s="8"/>
      <c r="AC33" s="8"/>
    </row>
    <row r="34" spans="1:29" ht="12.75">
      <c r="A34" s="12">
        <f t="shared" si="8"/>
        <v>30</v>
      </c>
      <c r="B34" s="3">
        <f t="shared" si="0"/>
        <v>1.1863006796317783</v>
      </c>
      <c r="C34" s="3">
        <f t="shared" si="1"/>
        <v>384.2582151144575</v>
      </c>
      <c r="D34" s="4">
        <f t="shared" si="2"/>
        <v>0.6047469926720556</v>
      </c>
      <c r="E34" s="21">
        <f t="shared" si="3"/>
        <v>0.5645392302977646</v>
      </c>
      <c r="F34" s="6">
        <f t="shared" si="4"/>
        <v>10.286971849173362</v>
      </c>
      <c r="G34" s="4">
        <f t="shared" si="9"/>
        <v>0.3354861365327061</v>
      </c>
      <c r="H34" s="12"/>
      <c r="I34" s="6">
        <f t="shared" si="18"/>
        <v>370</v>
      </c>
      <c r="J34" s="4">
        <f t="shared" si="10"/>
        <v>0.09369449378330373</v>
      </c>
      <c r="K34" s="3">
        <f t="shared" si="11"/>
        <v>370.0951597248409</v>
      </c>
      <c r="L34" s="18">
        <f t="shared" si="12"/>
        <v>35.809867929946506</v>
      </c>
      <c r="M34" s="17">
        <f t="shared" si="13"/>
        <v>14.43132790710344</v>
      </c>
      <c r="N34" s="4">
        <f t="shared" si="5"/>
        <v>0.6280513513513514</v>
      </c>
      <c r="O34" s="21">
        <f t="shared" si="6"/>
        <v>0.028938792861121394</v>
      </c>
      <c r="P34" s="21">
        <f t="shared" si="7"/>
        <v>0.6569901442124728</v>
      </c>
      <c r="Q34" s="32">
        <f t="shared" si="14"/>
        <v>600.5246055004254</v>
      </c>
      <c r="R34" s="21">
        <f t="shared" si="15"/>
        <v>0.08681637858336419</v>
      </c>
      <c r="S34" s="6">
        <f t="shared" si="16"/>
        <v>-1.7097933835926091</v>
      </c>
      <c r="T34" s="32">
        <f t="shared" si="17"/>
        <v>-47.922640978017036</v>
      </c>
      <c r="U34" s="3">
        <f t="shared" si="19"/>
        <v>334.2852917948944</v>
      </c>
      <c r="W34" s="8"/>
      <c r="X34" s="8"/>
      <c r="Y34" s="8"/>
      <c r="Z34" s="8"/>
      <c r="AB34" s="8"/>
      <c r="AC34" s="8"/>
    </row>
    <row r="35" spans="1:29" ht="12.75">
      <c r="A35" s="12">
        <f t="shared" si="8"/>
        <v>27.5</v>
      </c>
      <c r="B35" s="3">
        <f t="shared" si="0"/>
        <v>1.1866916615044958</v>
      </c>
      <c r="C35" s="3">
        <f t="shared" si="1"/>
        <v>383.07191443482577</v>
      </c>
      <c r="D35" s="4">
        <f t="shared" si="2"/>
        <v>0.60661977880275</v>
      </c>
      <c r="E35" s="21">
        <f t="shared" si="3"/>
        <v>0.5645392302977646</v>
      </c>
      <c r="F35" s="6">
        <f t="shared" si="4"/>
        <v>10.318938165195995</v>
      </c>
      <c r="G35" s="4">
        <f t="shared" si="9"/>
        <v>0.3352531913004352</v>
      </c>
      <c r="H35" s="12"/>
      <c r="I35" s="6">
        <f t="shared" si="18"/>
        <v>370</v>
      </c>
      <c r="J35" s="4">
        <f t="shared" si="10"/>
        <v>0.09369449378330373</v>
      </c>
      <c r="K35" s="3">
        <f t="shared" si="11"/>
        <v>370.0951597248409</v>
      </c>
      <c r="L35" s="18">
        <f t="shared" si="12"/>
        <v>35.809867929946506</v>
      </c>
      <c r="M35" s="17">
        <f t="shared" si="13"/>
        <v>14.43132790710344</v>
      </c>
      <c r="N35" s="4">
        <f t="shared" si="5"/>
        <v>0.6280513513513514</v>
      </c>
      <c r="O35" s="21">
        <f t="shared" si="6"/>
        <v>0.028938792861121394</v>
      </c>
      <c r="P35" s="21">
        <f t="shared" si="7"/>
        <v>0.6569901442124728</v>
      </c>
      <c r="Q35" s="32">
        <f t="shared" si="14"/>
        <v>600.5246055004254</v>
      </c>
      <c r="R35" s="21">
        <f t="shared" si="15"/>
        <v>0.08681637858336419</v>
      </c>
      <c r="S35" s="6">
        <f t="shared" si="16"/>
        <v>-1.7097933835926091</v>
      </c>
      <c r="T35" s="32">
        <f t="shared" si="17"/>
        <v>-47.922640978017036</v>
      </c>
      <c r="U35" s="3">
        <f t="shared" si="19"/>
        <v>334.2852917948944</v>
      </c>
      <c r="W35" s="8"/>
      <c r="X35" s="8"/>
      <c r="Y35" s="28"/>
      <c r="Z35" s="8"/>
      <c r="AB35" s="8"/>
      <c r="AC35" s="8"/>
    </row>
    <row r="36" spans="1:29" ht="12.75">
      <c r="A36">
        <f t="shared" si="8"/>
        <v>25</v>
      </c>
      <c r="B36" s="6">
        <f t="shared" si="0"/>
        <v>1.1870680158874556</v>
      </c>
      <c r="C36" s="6">
        <f t="shared" si="1"/>
        <v>381.8852227733213</v>
      </c>
      <c r="D36" s="4">
        <f t="shared" si="2"/>
        <v>0.6085048232880566</v>
      </c>
      <c r="E36" s="4">
        <f t="shared" si="3"/>
        <v>0.5645392302977646</v>
      </c>
      <c r="F36" s="6">
        <f t="shared" si="4"/>
        <v>10.351114001355825</v>
      </c>
      <c r="G36" s="4">
        <f t="shared" si="9"/>
        <v>0.33501944378786463</v>
      </c>
      <c r="I36" s="6">
        <f t="shared" si="18"/>
        <v>370</v>
      </c>
      <c r="J36" s="4">
        <f t="shared" si="10"/>
        <v>0.09369449378330373</v>
      </c>
      <c r="K36" s="6">
        <f t="shared" si="11"/>
        <v>370.0951597248409</v>
      </c>
      <c r="L36" s="18">
        <f t="shared" si="12"/>
        <v>35.809867929946506</v>
      </c>
      <c r="M36" s="13">
        <f t="shared" si="13"/>
        <v>14.43132790710344</v>
      </c>
      <c r="N36" s="4">
        <f t="shared" si="5"/>
        <v>0.6280513513513514</v>
      </c>
      <c r="O36" s="4">
        <f t="shared" si="6"/>
        <v>0.028938792861121394</v>
      </c>
      <c r="P36" s="4">
        <f t="shared" si="7"/>
        <v>0.6569901442124728</v>
      </c>
      <c r="Q36" s="22">
        <f t="shared" si="14"/>
        <v>600.5246055004254</v>
      </c>
      <c r="R36" s="4">
        <f t="shared" si="15"/>
        <v>0.08681637858336419</v>
      </c>
      <c r="S36" s="6">
        <f t="shared" si="16"/>
        <v>-1.7097933835926091</v>
      </c>
      <c r="T36" s="22">
        <f t="shared" si="17"/>
        <v>-47.922640978017036</v>
      </c>
      <c r="U36" s="6">
        <f t="shared" si="19"/>
        <v>334.2852917948944</v>
      </c>
      <c r="W36" s="8"/>
      <c r="X36" s="8"/>
      <c r="Y36" s="10"/>
      <c r="Z36" s="8"/>
      <c r="AB36" s="8"/>
      <c r="AC36" s="8"/>
    </row>
    <row r="37" spans="1:29" ht="12.75">
      <c r="A37">
        <f t="shared" si="8"/>
        <v>22.5</v>
      </c>
      <c r="B37" s="6">
        <f t="shared" si="0"/>
        <v>1.1874297828658782</v>
      </c>
      <c r="C37" s="6">
        <f t="shared" si="1"/>
        <v>380.6981547574338</v>
      </c>
      <c r="D37" s="4">
        <f t="shared" si="2"/>
        <v>0.6104022231157462</v>
      </c>
      <c r="E37" s="4">
        <f t="shared" si="3"/>
        <v>0.5645392302977646</v>
      </c>
      <c r="F37" s="6">
        <f t="shared" si="4"/>
        <v>10.383501020331042</v>
      </c>
      <c r="G37" s="4">
        <f t="shared" si="9"/>
        <v>0.33478489209507567</v>
      </c>
      <c r="I37" s="6">
        <f t="shared" si="18"/>
        <v>370</v>
      </c>
      <c r="J37" s="4">
        <f t="shared" si="10"/>
        <v>0.09369449378330373</v>
      </c>
      <c r="K37" s="6">
        <f t="shared" si="11"/>
        <v>370.0951597248409</v>
      </c>
      <c r="L37" s="18">
        <f t="shared" si="12"/>
        <v>35.809867929946506</v>
      </c>
      <c r="M37" s="13">
        <f t="shared" si="13"/>
        <v>14.43132790710344</v>
      </c>
      <c r="N37" s="4">
        <f t="shared" si="5"/>
        <v>0.6280513513513514</v>
      </c>
      <c r="O37" s="4">
        <f t="shared" si="6"/>
        <v>0.028938792861121394</v>
      </c>
      <c r="P37" s="4">
        <f t="shared" si="7"/>
        <v>0.6569901442124728</v>
      </c>
      <c r="Q37" s="22">
        <f t="shared" si="14"/>
        <v>600.5246055004254</v>
      </c>
      <c r="R37" s="4">
        <f t="shared" si="15"/>
        <v>0.08681637858336419</v>
      </c>
      <c r="S37" s="6">
        <f t="shared" si="16"/>
        <v>-1.7097933835926091</v>
      </c>
      <c r="T37" s="22">
        <f t="shared" si="17"/>
        <v>-47.922640978017036</v>
      </c>
      <c r="U37" s="6">
        <f t="shared" si="19"/>
        <v>334.2852917948944</v>
      </c>
      <c r="Z37" s="4"/>
      <c r="AB37" s="8"/>
      <c r="AC37" s="8"/>
    </row>
    <row r="38" spans="1:26" ht="12.75">
      <c r="A38">
        <f t="shared" si="8"/>
        <v>20</v>
      </c>
      <c r="B38" s="6">
        <f t="shared" si="0"/>
        <v>1.1877770029940988</v>
      </c>
      <c r="C38" s="6">
        <f t="shared" si="1"/>
        <v>379.51072497456795</v>
      </c>
      <c r="D38" s="4">
        <f t="shared" si="2"/>
        <v>0.6123120763334747</v>
      </c>
      <c r="E38" s="4">
        <f t="shared" si="3"/>
        <v>0.5645392302977646</v>
      </c>
      <c r="F38" s="6">
        <f t="shared" si="4"/>
        <v>10.416100903020267</v>
      </c>
      <c r="G38" s="4">
        <f t="shared" si="9"/>
        <v>0.3345495343069637</v>
      </c>
      <c r="I38" s="6">
        <f t="shared" si="18"/>
        <v>370</v>
      </c>
      <c r="J38" s="4">
        <f t="shared" si="10"/>
        <v>0.09369449378330373</v>
      </c>
      <c r="K38" s="6">
        <f t="shared" si="11"/>
        <v>370.0951597248409</v>
      </c>
      <c r="L38" s="18">
        <f t="shared" si="12"/>
        <v>35.809867929946506</v>
      </c>
      <c r="M38" s="13">
        <f t="shared" si="13"/>
        <v>14.43132790710344</v>
      </c>
      <c r="N38" s="4">
        <f t="shared" si="5"/>
        <v>0.6280513513513514</v>
      </c>
      <c r="O38" s="4">
        <f t="shared" si="6"/>
        <v>0.028938792861121394</v>
      </c>
      <c r="P38" s="4">
        <f t="shared" si="7"/>
        <v>0.6569901442124728</v>
      </c>
      <c r="Q38" s="22">
        <f t="shared" si="14"/>
        <v>600.5246055004254</v>
      </c>
      <c r="R38" s="4">
        <f t="shared" si="15"/>
        <v>0.08681637858336419</v>
      </c>
      <c r="S38" s="6">
        <f t="shared" si="16"/>
        <v>-1.7097933835926091</v>
      </c>
      <c r="T38" s="22">
        <f t="shared" si="17"/>
        <v>-47.922640978017036</v>
      </c>
      <c r="U38" s="6">
        <f t="shared" si="19"/>
        <v>334.2852917948944</v>
      </c>
      <c r="W38" s="11"/>
      <c r="Z38" s="4"/>
    </row>
    <row r="39" spans="1:26" ht="12.75">
      <c r="A39">
        <f t="shared" si="8"/>
        <v>17.5</v>
      </c>
      <c r="B39" s="6">
        <f t="shared" si="0"/>
        <v>1.188109717283976</v>
      </c>
      <c r="C39" s="6">
        <f t="shared" si="1"/>
        <v>378.32294797157385</v>
      </c>
      <c r="D39" s="4">
        <f t="shared" si="2"/>
        <v>0.6142344820633516</v>
      </c>
      <c r="E39" s="4">
        <f t="shared" si="3"/>
        <v>0.5645392302977646</v>
      </c>
      <c r="F39" s="6">
        <f t="shared" si="4"/>
        <v>10.44891534879349</v>
      </c>
      <c r="G39" s="4">
        <f t="shared" si="9"/>
        <v>0.3343133684930247</v>
      </c>
      <c r="I39" s="6">
        <f t="shared" si="18"/>
        <v>370</v>
      </c>
      <c r="J39" s="4">
        <f t="shared" si="10"/>
        <v>0.09369449378330373</v>
      </c>
      <c r="K39" s="6">
        <f t="shared" si="11"/>
        <v>370.0951597248409</v>
      </c>
      <c r="L39" s="18">
        <f t="shared" si="12"/>
        <v>35.809867929946506</v>
      </c>
      <c r="M39" s="13">
        <f t="shared" si="13"/>
        <v>14.43132790710344</v>
      </c>
      <c r="N39" s="4">
        <f t="shared" si="5"/>
        <v>0.6280513513513514</v>
      </c>
      <c r="O39" s="4">
        <f t="shared" si="6"/>
        <v>0.028938792861121394</v>
      </c>
      <c r="P39" s="4">
        <f t="shared" si="7"/>
        <v>0.6569901442124728</v>
      </c>
      <c r="Q39" s="22">
        <f t="shared" si="14"/>
        <v>600.5246055004254</v>
      </c>
      <c r="R39" s="4">
        <f t="shared" si="15"/>
        <v>0.08681637858336419</v>
      </c>
      <c r="S39" s="6">
        <f t="shared" si="16"/>
        <v>-1.7097933835926091</v>
      </c>
      <c r="T39" s="22">
        <f t="shared" si="17"/>
        <v>-47.922640978017036</v>
      </c>
      <c r="U39" s="6">
        <f t="shared" si="19"/>
        <v>334.2852917948944</v>
      </c>
      <c r="W39" s="11" t="s">
        <v>79</v>
      </c>
      <c r="X39" s="11"/>
      <c r="Y39" s="18">
        <f>I14/(J9*C7*D26)</f>
        <v>11.191075867567298</v>
      </c>
      <c r="Z39" s="11" t="s">
        <v>16</v>
      </c>
    </row>
    <row r="40" spans="1:26" ht="12.75">
      <c r="A40">
        <f t="shared" si="8"/>
        <v>15</v>
      </c>
      <c r="B40" s="6">
        <f t="shared" si="0"/>
        <v>1.1884279671933107</v>
      </c>
      <c r="C40" s="6">
        <f t="shared" si="1"/>
        <v>377.1348382542899</v>
      </c>
      <c r="D40" s="4">
        <f t="shared" si="2"/>
        <v>0.6161695405167377</v>
      </c>
      <c r="E40" s="4">
        <f t="shared" si="3"/>
        <v>0.5645392302977646</v>
      </c>
      <c r="F40" s="6">
        <f t="shared" si="4"/>
        <v>10.48194607574699</v>
      </c>
      <c r="G40" s="4">
        <f t="shared" si="9"/>
        <v>0.3340763927071406</v>
      </c>
      <c r="I40" s="6">
        <f t="shared" si="18"/>
        <v>370</v>
      </c>
      <c r="J40" s="4">
        <f t="shared" si="10"/>
        <v>0.09369449378330373</v>
      </c>
      <c r="K40" s="6">
        <f t="shared" si="11"/>
        <v>370.0951597248409</v>
      </c>
      <c r="L40" s="18">
        <f t="shared" si="12"/>
        <v>35.809867929946506</v>
      </c>
      <c r="M40" s="13">
        <f t="shared" si="13"/>
        <v>14.43132790710344</v>
      </c>
      <c r="N40" s="4">
        <f t="shared" si="5"/>
        <v>0.6280513513513514</v>
      </c>
      <c r="O40" s="4">
        <f t="shared" si="6"/>
        <v>0.028938792861121394</v>
      </c>
      <c r="P40" s="4">
        <f t="shared" si="7"/>
        <v>0.6569901442124728</v>
      </c>
      <c r="Q40" s="22">
        <f t="shared" si="14"/>
        <v>600.5246055004254</v>
      </c>
      <c r="R40" s="4">
        <f t="shared" si="15"/>
        <v>0.08681637858336419</v>
      </c>
      <c r="S40" s="6">
        <f t="shared" si="16"/>
        <v>-1.7097933835926091</v>
      </c>
      <c r="T40" s="22">
        <f t="shared" si="17"/>
        <v>-47.922640978017036</v>
      </c>
      <c r="U40" s="6">
        <f t="shared" si="19"/>
        <v>334.2852917948944</v>
      </c>
      <c r="W40" s="11" t="s">
        <v>80</v>
      </c>
      <c r="X40" s="11"/>
      <c r="Y40" s="18">
        <f>I14/(J9*C7*D46)</f>
        <v>10.51651859372057</v>
      </c>
      <c r="Z40" s="11" t="s">
        <v>16</v>
      </c>
    </row>
    <row r="41" spans="1:23" ht="12.75">
      <c r="A41">
        <f t="shared" si="8"/>
        <v>12.5</v>
      </c>
      <c r="B41" s="6">
        <f t="shared" si="0"/>
        <v>1.1887317946142828</v>
      </c>
      <c r="C41" s="6">
        <f t="shared" si="1"/>
        <v>375.94641028709657</v>
      </c>
      <c r="D41" s="4">
        <f t="shared" si="2"/>
        <v>0.6181173530092776</v>
      </c>
      <c r="E41" s="4">
        <f t="shared" si="3"/>
        <v>0.5645392302977646</v>
      </c>
      <c r="F41" s="6">
        <f t="shared" si="4"/>
        <v>10.515194820962288</v>
      </c>
      <c r="G41" s="4">
        <f t="shared" si="9"/>
        <v>0.33383860498736356</v>
      </c>
      <c r="I41" s="6">
        <f t="shared" si="18"/>
        <v>370</v>
      </c>
      <c r="J41" s="4">
        <f t="shared" si="10"/>
        <v>0.09369449378330373</v>
      </c>
      <c r="K41" s="6">
        <f t="shared" si="11"/>
        <v>370.0951597248409</v>
      </c>
      <c r="L41" s="18">
        <f t="shared" si="12"/>
        <v>35.809867929946506</v>
      </c>
      <c r="M41" s="13">
        <f t="shared" si="13"/>
        <v>14.43132790710344</v>
      </c>
      <c r="N41" s="4">
        <f t="shared" si="5"/>
        <v>0.6280513513513514</v>
      </c>
      <c r="O41" s="4">
        <f t="shared" si="6"/>
        <v>0.028938792861121394</v>
      </c>
      <c r="P41" s="4">
        <f t="shared" si="7"/>
        <v>0.6569901442124728</v>
      </c>
      <c r="Q41" s="22">
        <f t="shared" si="14"/>
        <v>600.5246055004254</v>
      </c>
      <c r="R41" s="4">
        <f t="shared" si="15"/>
        <v>0.08681637858336419</v>
      </c>
      <c r="S41" s="6">
        <f t="shared" si="16"/>
        <v>-1.7097933835926091</v>
      </c>
      <c r="T41" s="22">
        <f t="shared" si="17"/>
        <v>-47.922640978017036</v>
      </c>
      <c r="U41" s="6">
        <f t="shared" si="19"/>
        <v>334.2852917948944</v>
      </c>
      <c r="W41" s="11" t="s">
        <v>82</v>
      </c>
    </row>
    <row r="42" spans="1:21" ht="12.75">
      <c r="A42">
        <f t="shared" si="8"/>
        <v>10</v>
      </c>
      <c r="B42" s="6">
        <f t="shared" si="0"/>
        <v>1.1890212418619106</v>
      </c>
      <c r="C42" s="6">
        <f t="shared" si="1"/>
        <v>374.7576784924823</v>
      </c>
      <c r="D42" s="4">
        <f t="shared" si="2"/>
        <v>0.6200780219761703</v>
      </c>
      <c r="E42" s="4">
        <f t="shared" si="3"/>
        <v>0.5645392302977646</v>
      </c>
      <c r="F42" s="6">
        <f t="shared" si="4"/>
        <v>10.548663340769217</v>
      </c>
      <c r="G42" s="4">
        <f t="shared" si="9"/>
        <v>0.3336000033556986</v>
      </c>
      <c r="I42" s="6">
        <f t="shared" si="18"/>
        <v>370</v>
      </c>
      <c r="J42" s="4">
        <f t="shared" si="10"/>
        <v>0.09369449378330373</v>
      </c>
      <c r="K42" s="6">
        <f t="shared" si="11"/>
        <v>370.0951597248409</v>
      </c>
      <c r="L42" s="18">
        <f t="shared" si="12"/>
        <v>35.809867929946506</v>
      </c>
      <c r="M42" s="13">
        <f t="shared" si="13"/>
        <v>14.43132790710344</v>
      </c>
      <c r="N42" s="4">
        <f t="shared" si="5"/>
        <v>0.6280513513513514</v>
      </c>
      <c r="O42" s="4">
        <f t="shared" si="6"/>
        <v>0.028938792861121394</v>
      </c>
      <c r="P42" s="4">
        <f t="shared" si="7"/>
        <v>0.6569901442124728</v>
      </c>
      <c r="Q42" s="22">
        <f t="shared" si="14"/>
        <v>600.5246055004254</v>
      </c>
      <c r="R42" s="4">
        <f t="shared" si="15"/>
        <v>0.08681637858336419</v>
      </c>
      <c r="S42" s="6">
        <f t="shared" si="16"/>
        <v>-1.7097933835926091</v>
      </c>
      <c r="T42" s="22">
        <f t="shared" si="17"/>
        <v>-47.922640978017036</v>
      </c>
      <c r="U42" s="6">
        <f t="shared" si="19"/>
        <v>334.2852917948944</v>
      </c>
    </row>
    <row r="43" spans="1:21" ht="12.75">
      <c r="A43">
        <f t="shared" si="8"/>
        <v>7.5</v>
      </c>
      <c r="B43" s="6">
        <f t="shared" si="0"/>
        <v>1.1892963516625237</v>
      </c>
      <c r="C43" s="6">
        <f t="shared" si="1"/>
        <v>373.5686572506204</v>
      </c>
      <c r="D43" s="4">
        <f t="shared" si="2"/>
        <v>0.6220516509876822</v>
      </c>
      <c r="E43" s="4">
        <f t="shared" si="3"/>
        <v>0.5645392302977646</v>
      </c>
      <c r="F43" s="6">
        <f t="shared" si="4"/>
        <v>10.582353411013193</v>
      </c>
      <c r="G43" s="4">
        <f t="shared" si="9"/>
        <v>0.33336058581788486</v>
      </c>
      <c r="I43" s="6">
        <f t="shared" si="18"/>
        <v>370</v>
      </c>
      <c r="J43" s="4">
        <f t="shared" si="10"/>
        <v>0.09369449378330373</v>
      </c>
      <c r="K43" s="6">
        <f t="shared" si="11"/>
        <v>370.0951597248409</v>
      </c>
      <c r="L43" s="18">
        <f t="shared" si="12"/>
        <v>35.809867929946506</v>
      </c>
      <c r="M43" s="13">
        <f t="shared" si="13"/>
        <v>14.43132790710344</v>
      </c>
      <c r="N43" s="4">
        <f t="shared" si="5"/>
        <v>0.6280513513513514</v>
      </c>
      <c r="O43" s="4">
        <f t="shared" si="6"/>
        <v>0.028938792861121394</v>
      </c>
      <c r="P43" s="4">
        <f t="shared" si="7"/>
        <v>0.6569901442124728</v>
      </c>
      <c r="Q43" s="22">
        <f t="shared" si="14"/>
        <v>600.5246055004254</v>
      </c>
      <c r="R43" s="4">
        <f t="shared" si="15"/>
        <v>0.08681637858336419</v>
      </c>
      <c r="S43" s="6">
        <f t="shared" si="16"/>
        <v>-1.7097933835926091</v>
      </c>
      <c r="T43" s="22">
        <f t="shared" si="17"/>
        <v>-47.922640978017036</v>
      </c>
      <c r="U43" s="6">
        <f t="shared" si="19"/>
        <v>334.2852917948944</v>
      </c>
    </row>
    <row r="44" spans="1:21" ht="12.75">
      <c r="A44">
        <f t="shared" si="8"/>
        <v>5</v>
      </c>
      <c r="B44" s="6">
        <f t="shared" si="0"/>
        <v>1.1895571671422682</v>
      </c>
      <c r="C44" s="6">
        <f t="shared" si="1"/>
        <v>372.3793608989579</v>
      </c>
      <c r="D44" s="4">
        <f t="shared" si="2"/>
        <v>0.624038344764908</v>
      </c>
      <c r="E44" s="4">
        <f t="shared" si="3"/>
        <v>0.5645392302977646</v>
      </c>
      <c r="F44" s="6">
        <f t="shared" si="4"/>
        <v>10.616266827326745</v>
      </c>
      <c r="G44" s="4">
        <f t="shared" si="9"/>
        <v>0.3331203503631759</v>
      </c>
      <c r="I44" s="6">
        <f t="shared" si="18"/>
        <v>370</v>
      </c>
      <c r="J44" s="4">
        <f t="shared" si="10"/>
        <v>0.09369449378330373</v>
      </c>
      <c r="K44" s="6">
        <f t="shared" si="11"/>
        <v>370.0951597248409</v>
      </c>
      <c r="L44" s="18">
        <f t="shared" si="12"/>
        <v>35.809867929946506</v>
      </c>
      <c r="M44" s="13">
        <f t="shared" si="13"/>
        <v>14.43132790710344</v>
      </c>
      <c r="N44" s="4">
        <f t="shared" si="5"/>
        <v>0.6280513513513514</v>
      </c>
      <c r="O44" s="4">
        <f t="shared" si="6"/>
        <v>0.028938792861121394</v>
      </c>
      <c r="P44" s="4">
        <f t="shared" si="7"/>
        <v>0.6569901442124728</v>
      </c>
      <c r="Q44" s="22">
        <f t="shared" si="14"/>
        <v>600.5246055004254</v>
      </c>
      <c r="R44" s="4">
        <f t="shared" si="15"/>
        <v>0.08681637858336419</v>
      </c>
      <c r="S44" s="6">
        <f t="shared" si="16"/>
        <v>-1.7097933835926091</v>
      </c>
      <c r="T44" s="22">
        <f t="shared" si="17"/>
        <v>-47.922640978017036</v>
      </c>
      <c r="U44" s="6">
        <f t="shared" si="19"/>
        <v>334.2852917948944</v>
      </c>
    </row>
    <row r="45" spans="1:21" ht="12.75">
      <c r="A45">
        <f t="shared" si="8"/>
        <v>2.5</v>
      </c>
      <c r="B45" s="6">
        <f t="shared" si="0"/>
        <v>1.1898037318156265</v>
      </c>
      <c r="C45" s="6">
        <f t="shared" si="1"/>
        <v>371.18980373181563</v>
      </c>
      <c r="D45" s="4">
        <f t="shared" si="2"/>
        <v>0.6260382091957829</v>
      </c>
      <c r="E45" s="4">
        <f t="shared" si="3"/>
        <v>0.5645392302977646</v>
      </c>
      <c r="F45" s="6">
        <f t="shared" si="4"/>
        <v>10.650405405405404</v>
      </c>
      <c r="G45" s="4">
        <f t="shared" si="9"/>
        <v>0.33287929496411794</v>
      </c>
      <c r="I45" s="6">
        <f t="shared" si="18"/>
        <v>370</v>
      </c>
      <c r="J45" s="4">
        <f t="shared" si="10"/>
        <v>0.09369449378330373</v>
      </c>
      <c r="K45" s="6">
        <f t="shared" si="11"/>
        <v>370.0951597248409</v>
      </c>
      <c r="L45" s="18">
        <f t="shared" si="12"/>
        <v>35.809867929946506</v>
      </c>
      <c r="M45" s="13">
        <f t="shared" si="13"/>
        <v>14.43132790710344</v>
      </c>
      <c r="N45" s="4">
        <f t="shared" si="5"/>
        <v>0.6280513513513514</v>
      </c>
      <c r="O45" s="4">
        <f t="shared" si="6"/>
        <v>0.028938792861121394</v>
      </c>
      <c r="P45" s="4">
        <f t="shared" si="7"/>
        <v>0.6569901442124728</v>
      </c>
      <c r="Q45" s="22">
        <f t="shared" si="14"/>
        <v>600.5246055004254</v>
      </c>
      <c r="R45" s="4">
        <f t="shared" si="15"/>
        <v>0.08681637858336419</v>
      </c>
      <c r="S45" s="6">
        <f t="shared" si="16"/>
        <v>-1.7097933835926091</v>
      </c>
      <c r="T45" s="22">
        <f t="shared" si="17"/>
        <v>-47.922640978017036</v>
      </c>
      <c r="U45" s="6">
        <f t="shared" si="19"/>
        <v>334.2852917948944</v>
      </c>
    </row>
    <row r="46" spans="1:14" ht="12.75">
      <c r="A46">
        <f t="shared" si="8"/>
        <v>0</v>
      </c>
      <c r="B46" s="6"/>
      <c r="C46" s="15">
        <f>O13</f>
        <v>370</v>
      </c>
      <c r="D46" s="4">
        <f t="shared" si="2"/>
        <v>0.6280513513513514</v>
      </c>
      <c r="I46" s="6"/>
      <c r="J46" s="4"/>
      <c r="K46" s="6"/>
      <c r="L46" s="5"/>
      <c r="M46" s="5"/>
      <c r="N46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">
      <selection activeCell="E14" sqref="E14"/>
    </sheetView>
  </sheetViews>
  <sheetFormatPr defaultColWidth="9.140625" defaultRowHeight="12.75"/>
  <sheetData>
    <row r="2" ht="12.75">
      <c r="C2" s="1" t="s">
        <v>44</v>
      </c>
    </row>
    <row r="5" spans="2:13" ht="12.75">
      <c r="B5" t="s">
        <v>58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M5" t="s">
        <v>50</v>
      </c>
    </row>
    <row r="6" spans="2:13" ht="12.75">
      <c r="B6" t="s">
        <v>51</v>
      </c>
      <c r="C6">
        <v>0.463</v>
      </c>
      <c r="D6" t="s">
        <v>9</v>
      </c>
      <c r="F6">
        <v>0.588</v>
      </c>
      <c r="G6">
        <v>0.438648</v>
      </c>
      <c r="H6">
        <v>0.36554</v>
      </c>
      <c r="I6">
        <v>0.31332</v>
      </c>
      <c r="J6">
        <v>0.2580282352941176</v>
      </c>
      <c r="M6">
        <v>0.175</v>
      </c>
    </row>
    <row r="7" spans="2:13" ht="12.75">
      <c r="B7" t="s">
        <v>52</v>
      </c>
      <c r="C7">
        <v>1.6E-05</v>
      </c>
      <c r="D7" t="s">
        <v>53</v>
      </c>
      <c r="F7">
        <v>1.2E-05</v>
      </c>
      <c r="G7">
        <v>1.7E-05</v>
      </c>
      <c r="H7">
        <v>2.1E-05</v>
      </c>
      <c r="I7">
        <v>2.4E-05</v>
      </c>
      <c r="J7">
        <v>3E-05</v>
      </c>
      <c r="M7">
        <v>4.8E-05</v>
      </c>
    </row>
    <row r="8" spans="2:13" ht="12.75">
      <c r="B8" t="s">
        <v>54</v>
      </c>
      <c r="C8">
        <v>0.032</v>
      </c>
      <c r="D8" t="s">
        <v>55</v>
      </c>
      <c r="F8">
        <v>0.025</v>
      </c>
      <c r="G8">
        <v>0.034</v>
      </c>
      <c r="H8">
        <v>0.042</v>
      </c>
      <c r="I8">
        <v>0.051</v>
      </c>
      <c r="J8">
        <v>0.064</v>
      </c>
      <c r="M8">
        <v>0.1</v>
      </c>
    </row>
    <row r="11" spans="3:6" ht="12.75">
      <c r="C11" t="s">
        <v>86</v>
      </c>
      <c r="E11" s="2">
        <v>1</v>
      </c>
      <c r="F11" t="s">
        <v>85</v>
      </c>
    </row>
    <row r="12" spans="3:6" ht="12.75">
      <c r="C12" t="s">
        <v>57</v>
      </c>
      <c r="E12" s="2">
        <f>0.005*1</f>
        <v>0.005</v>
      </c>
      <c r="F12" t="s">
        <v>0</v>
      </c>
    </row>
    <row r="13" spans="3:6" ht="12.75">
      <c r="C13" t="s">
        <v>56</v>
      </c>
      <c r="E13" s="2">
        <v>416</v>
      </c>
      <c r="F13" t="s">
        <v>3</v>
      </c>
    </row>
    <row r="14" spans="3:6" ht="12.75">
      <c r="C14" t="s">
        <v>59</v>
      </c>
      <c r="E14" s="21">
        <f>E11*0.588*373/E13</f>
        <v>0.5272211538461538</v>
      </c>
      <c r="F14" t="s">
        <v>9</v>
      </c>
    </row>
    <row r="16" spans="3:6" ht="12.75">
      <c r="C16" t="s">
        <v>60</v>
      </c>
      <c r="E16" s="6">
        <f>(4*1000*9.81*E12/(3*E14*0.5))^0.5</f>
        <v>15.750975586637232</v>
      </c>
      <c r="F16" t="s">
        <v>16</v>
      </c>
    </row>
    <row r="18" spans="3:6" ht="12.75">
      <c r="C18" t="s">
        <v>62</v>
      </c>
      <c r="E18" s="2">
        <v>1.2E-05</v>
      </c>
      <c r="F18" t="s">
        <v>53</v>
      </c>
    </row>
    <row r="19" spans="3:6" ht="12.75">
      <c r="C19" t="s">
        <v>61</v>
      </c>
      <c r="E19" s="2">
        <v>0.025</v>
      </c>
      <c r="F19" t="s">
        <v>55</v>
      </c>
    </row>
    <row r="21" spans="3:9" ht="12.75">
      <c r="C21" t="s">
        <v>63</v>
      </c>
      <c r="E21" s="22">
        <f>E16*E14*E12/E18</f>
        <v>3460.10313457895</v>
      </c>
      <c r="G21" t="s">
        <v>64</v>
      </c>
      <c r="I21" s="23">
        <f>E18*2000/E19</f>
        <v>0.96</v>
      </c>
    </row>
    <row r="22" spans="3:5" ht="12.75">
      <c r="C22" t="s">
        <v>65</v>
      </c>
      <c r="E22" s="24">
        <f>2+0.6*E21^0.5*I21^0.33</f>
        <v>36.821323928468914</v>
      </c>
    </row>
    <row r="24" spans="3:8" ht="12.75">
      <c r="C24" t="s">
        <v>66</v>
      </c>
      <c r="G24" s="25">
        <f>E22*E19/E12</f>
        <v>184.10661964234458</v>
      </c>
      <c r="H24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C23" sqref="C23"/>
    </sheetView>
  </sheetViews>
  <sheetFormatPr defaultColWidth="9.140625" defaultRowHeight="12.75"/>
  <sheetData>
    <row r="3" ht="12.75">
      <c r="B3" s="1" t="s">
        <v>106</v>
      </c>
    </row>
    <row r="5" spans="7:8" ht="12.75">
      <c r="G5" t="s">
        <v>104</v>
      </c>
      <c r="H5" t="s">
        <v>45</v>
      </c>
    </row>
    <row r="7" spans="2:3" ht="12.75">
      <c r="B7" t="s">
        <v>103</v>
      </c>
      <c r="C7" t="s">
        <v>110</v>
      </c>
    </row>
    <row r="8" spans="2:3" ht="12.75">
      <c r="B8" t="s">
        <v>16</v>
      </c>
      <c r="C8" t="s">
        <v>25</v>
      </c>
    </row>
    <row r="9" spans="2:3" ht="12.75">
      <c r="B9">
        <v>2</v>
      </c>
      <c r="C9">
        <v>80.3</v>
      </c>
    </row>
    <row r="10" spans="2:3" ht="12.75">
      <c r="B10">
        <v>5</v>
      </c>
      <c r="C10">
        <v>146</v>
      </c>
    </row>
    <row r="11" spans="2:3" ht="12.75">
      <c r="B11">
        <v>10</v>
      </c>
      <c r="C11">
        <v>201.8</v>
      </c>
    </row>
    <row r="12" spans="2:3" ht="12.75">
      <c r="B12">
        <v>15</v>
      </c>
      <c r="C12">
        <v>226</v>
      </c>
    </row>
    <row r="13" spans="2:3" ht="12.75">
      <c r="B13">
        <v>20</v>
      </c>
      <c r="C13">
        <v>238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R18" sqref="R18"/>
    </sheetView>
  </sheetViews>
  <sheetFormatPr defaultColWidth="9.140625" defaultRowHeight="12.75"/>
  <sheetData>
    <row r="2" ht="12.75">
      <c r="B2" s="1" t="s">
        <v>111</v>
      </c>
    </row>
    <row r="4" ht="12.75">
      <c r="C4" t="s">
        <v>98</v>
      </c>
    </row>
    <row r="5" spans="2:4" ht="12.75">
      <c r="B5" t="s">
        <v>97</v>
      </c>
      <c r="C5" t="s">
        <v>99</v>
      </c>
      <c r="D5" t="s">
        <v>100</v>
      </c>
    </row>
    <row r="6" spans="2:4" ht="12.75">
      <c r="B6">
        <v>0</v>
      </c>
      <c r="C6">
        <v>270</v>
      </c>
      <c r="D6">
        <v>270</v>
      </c>
    </row>
    <row r="7" spans="2:4" ht="12.75">
      <c r="B7">
        <v>0.1</v>
      </c>
      <c r="C7">
        <v>222</v>
      </c>
      <c r="D7">
        <v>220</v>
      </c>
    </row>
    <row r="8" spans="2:4" ht="12.75">
      <c r="B8">
        <v>0.2</v>
      </c>
      <c r="C8">
        <v>182</v>
      </c>
      <c r="D8">
        <v>179</v>
      </c>
    </row>
    <row r="9" spans="2:4" ht="12.75">
      <c r="B9">
        <v>0.4</v>
      </c>
      <c r="C9">
        <v>119</v>
      </c>
      <c r="D9">
        <v>114</v>
      </c>
    </row>
    <row r="10" spans="2:4" ht="12.75">
      <c r="B10">
        <v>0.6</v>
      </c>
      <c r="C10">
        <v>71</v>
      </c>
      <c r="D10">
        <v>63</v>
      </c>
    </row>
    <row r="11" spans="2:4" ht="12.75">
      <c r="B11">
        <v>0.8</v>
      </c>
      <c r="C11">
        <v>35</v>
      </c>
      <c r="D11">
        <v>22</v>
      </c>
    </row>
    <row r="12" ht="12.75">
      <c r="B1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Barnes, Matthew</cp:lastModifiedBy>
  <dcterms:created xsi:type="dcterms:W3CDTF">2013-12-31T09:45:52Z</dcterms:created>
  <dcterms:modified xsi:type="dcterms:W3CDTF">2016-03-31T07:55:58Z</dcterms:modified>
  <cp:category/>
  <cp:version/>
  <cp:contentType/>
  <cp:contentStatus/>
</cp:coreProperties>
</file>