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8620" windowHeight="12150" firstSheet="3" activeTab="12"/>
  </bookViews>
  <sheets>
    <sheet name="BQ and HEF-CHrm" sheetId="1" r:id="rId1"/>
    <sheet name="BQ-HEF-AMS" sheetId="8" r:id="rId2"/>
    <sheet name="BQ heights" sheetId="2" r:id="rId3"/>
    <sheet name="BB-chrm" sheetId="4" r:id="rId4"/>
    <sheet name="BB-AMS" sheetId="5" r:id="rId5"/>
    <sheet name="Core-A-ChrM" sheetId="6" r:id="rId6"/>
    <sheet name="Grabowiec-6-chrm" sheetId="7" r:id="rId7"/>
    <sheet name="BardoStawy" sheetId="9" r:id="rId8"/>
    <sheet name="Buttington-magsus" sheetId="10" r:id="rId9"/>
    <sheet name="Bardo stawy magsus" sheetId="11" r:id="rId10"/>
    <sheet name="Backside Beck Magsus" sheetId="12" r:id="rId11"/>
    <sheet name="Backside isotopes" sheetId="13" r:id="rId12"/>
    <sheet name="rockmag" sheetId="14" r:id="rId13"/>
  </sheets>
  <externalReferences>
    <externalReference r:id="rId14"/>
    <externalReference r:id="rId15"/>
    <externalReference r:id="rId16"/>
  </externalReferences>
  <calcPr calcId="125725"/>
</workbook>
</file>

<file path=xl/calcChain.xml><?xml version="1.0" encoding="utf-8"?>
<calcChain xmlns="http://schemas.openxmlformats.org/spreadsheetml/2006/main">
  <c r="B151" i="1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F185" i="10"/>
  <c r="E184"/>
  <c r="F184" s="1"/>
  <c r="F183"/>
  <c r="E183"/>
  <c r="F168"/>
  <c r="F154"/>
  <c r="F152"/>
  <c r="E151"/>
  <c r="F151" s="1"/>
  <c r="F148"/>
  <c r="F146"/>
  <c r="E145"/>
  <c r="F145" s="1"/>
  <c r="F142"/>
  <c r="F140"/>
  <c r="F131"/>
  <c r="F127"/>
  <c r="F126"/>
  <c r="F123"/>
  <c r="F122"/>
  <c r="E122"/>
  <c r="E121" s="1"/>
  <c r="F121" s="1"/>
  <c r="F118"/>
  <c r="F115"/>
  <c r="F114"/>
  <c r="F113"/>
  <c r="F112"/>
  <c r="E112"/>
  <c r="F110"/>
  <c r="F108"/>
  <c r="F106"/>
  <c r="F104"/>
  <c r="F103"/>
  <c r="F98"/>
  <c r="F94"/>
  <c r="F87"/>
  <c r="F84"/>
  <c r="F80"/>
  <c r="F77"/>
  <c r="F72"/>
  <c r="F69"/>
  <c r="F66"/>
  <c r="F63"/>
  <c r="F59"/>
  <c r="F56"/>
  <c r="F49"/>
  <c r="F46"/>
  <c r="F43"/>
  <c r="F40"/>
  <c r="F35"/>
  <c r="F34"/>
  <c r="F32"/>
  <c r="F29"/>
  <c r="F26"/>
  <c r="F25"/>
  <c r="F22"/>
  <c r="F21"/>
  <c r="F19"/>
  <c r="F17"/>
  <c r="F14"/>
  <c r="F10"/>
  <c r="F7"/>
  <c r="J52" i="9"/>
  <c r="I52"/>
  <c r="E52"/>
  <c r="J51"/>
  <c r="I51"/>
  <c r="E51"/>
  <c r="J50"/>
  <c r="I50"/>
  <c r="E50"/>
  <c r="J49"/>
  <c r="I49"/>
  <c r="E49"/>
  <c r="J48"/>
  <c r="I48"/>
  <c r="E48"/>
  <c r="J47"/>
  <c r="I47"/>
  <c r="E47"/>
  <c r="J46"/>
  <c r="I46"/>
  <c r="E46"/>
  <c r="J45"/>
  <c r="I45"/>
  <c r="E45"/>
  <c r="J44"/>
  <c r="I44"/>
  <c r="E44"/>
  <c r="J43"/>
  <c r="I43"/>
  <c r="E43"/>
  <c r="J42"/>
  <c r="I42"/>
  <c r="E42"/>
  <c r="J41"/>
  <c r="I41"/>
  <c r="E41"/>
  <c r="J40"/>
  <c r="I40"/>
  <c r="E40"/>
  <c r="J39"/>
  <c r="I39"/>
  <c r="E39"/>
  <c r="J38"/>
  <c r="I38"/>
  <c r="E38"/>
  <c r="J37"/>
  <c r="I37"/>
  <c r="E37"/>
  <c r="J36"/>
  <c r="I36"/>
  <c r="E36"/>
  <c r="J35"/>
  <c r="I35"/>
  <c r="E35"/>
  <c r="J34"/>
  <c r="I34"/>
  <c r="E34"/>
  <c r="J33"/>
  <c r="I33"/>
  <c r="E33"/>
  <c r="J32"/>
  <c r="I32"/>
  <c r="E32"/>
  <c r="J31"/>
  <c r="I31"/>
  <c r="E31"/>
  <c r="J30"/>
  <c r="I30"/>
  <c r="E30"/>
  <c r="J29"/>
  <c r="I29"/>
  <c r="E29"/>
  <c r="J28"/>
  <c r="I28"/>
  <c r="E28"/>
  <c r="J27"/>
  <c r="I27"/>
  <c r="E27"/>
  <c r="J26"/>
  <c r="I26"/>
  <c r="E26"/>
  <c r="J25"/>
  <c r="I25"/>
  <c r="E25"/>
  <c r="J24"/>
  <c r="I24"/>
  <c r="E24"/>
  <c r="J23"/>
  <c r="I23"/>
  <c r="E23"/>
  <c r="J22"/>
  <c r="I22"/>
  <c r="E22"/>
  <c r="J21"/>
  <c r="I21"/>
  <c r="E21"/>
  <c r="J20"/>
  <c r="I20"/>
  <c r="E20"/>
  <c r="J19"/>
  <c r="I19"/>
  <c r="E19"/>
  <c r="J18"/>
  <c r="I18"/>
  <c r="E18"/>
  <c r="J17"/>
  <c r="I17"/>
  <c r="E17"/>
  <c r="Z16"/>
  <c r="Y16"/>
  <c r="J16"/>
  <c r="I16"/>
  <c r="E16"/>
  <c r="J15"/>
  <c r="I15"/>
  <c r="E15"/>
  <c r="J14"/>
  <c r="I14"/>
  <c r="E14"/>
  <c r="J13"/>
  <c r="I13"/>
  <c r="E13"/>
  <c r="J12"/>
  <c r="I12"/>
  <c r="E12"/>
  <c r="J11"/>
  <c r="I11"/>
  <c r="E11"/>
  <c r="J10"/>
  <c r="I10"/>
  <c r="E10"/>
  <c r="J9"/>
  <c r="I9"/>
  <c r="E9"/>
  <c r="J8"/>
  <c r="I8"/>
  <c r="E8"/>
  <c r="J6"/>
  <c r="I6"/>
  <c r="E6"/>
  <c r="J5"/>
  <c r="I5"/>
  <c r="E5"/>
  <c r="J4"/>
  <c r="I4"/>
  <c r="E4"/>
  <c r="D2"/>
  <c r="C2"/>
  <c r="BD130" i="8" l="1"/>
  <c r="BC130"/>
  <c r="BD129"/>
  <c r="BC129"/>
  <c r="BD128"/>
  <c r="BC128"/>
  <c r="BD127"/>
  <c r="BC127"/>
  <c r="BD126"/>
  <c r="BC126"/>
  <c r="BD125"/>
  <c r="BC125"/>
  <c r="BD124"/>
  <c r="BC124"/>
  <c r="BD123"/>
  <c r="BC123"/>
  <c r="BD122"/>
  <c r="BC122"/>
  <c r="BD121"/>
  <c r="BC121"/>
  <c r="BD120"/>
  <c r="BC120"/>
  <c r="BD119"/>
  <c r="BC119"/>
  <c r="BD118"/>
  <c r="BC118"/>
  <c r="BD117"/>
  <c r="BC117"/>
  <c r="BD116"/>
  <c r="BC116"/>
  <c r="BD115"/>
  <c r="BC115"/>
  <c r="BD114"/>
  <c r="BC114"/>
  <c r="BD113"/>
  <c r="BC113"/>
  <c r="BD112"/>
  <c r="BC112"/>
  <c r="BD111"/>
  <c r="BC111"/>
  <c r="BD110"/>
  <c r="BC110"/>
  <c r="BD109"/>
  <c r="BC109"/>
  <c r="BD108"/>
  <c r="BC108"/>
  <c r="BD107"/>
  <c r="BC107"/>
  <c r="BD106"/>
  <c r="BC106"/>
  <c r="BD105"/>
  <c r="BC105"/>
  <c r="AV105"/>
  <c r="AU105"/>
  <c r="BD104"/>
  <c r="BC104"/>
  <c r="BD103"/>
  <c r="BC103"/>
  <c r="AX103"/>
  <c r="AW103"/>
  <c r="AV102"/>
  <c r="BD102" s="1"/>
  <c r="AU102"/>
  <c r="BC102" s="1"/>
  <c r="AV101"/>
  <c r="BD101" s="1"/>
  <c r="AU101"/>
  <c r="BC101" s="1"/>
  <c r="BD100"/>
  <c r="BC100"/>
  <c r="AG100"/>
  <c r="AF100"/>
  <c r="AV99"/>
  <c r="BD99" s="1"/>
  <c r="AU99"/>
  <c r="BC99" s="1"/>
  <c r="AX98"/>
  <c r="AW98"/>
  <c r="AV98"/>
  <c r="BD98" s="1"/>
  <c r="AU98"/>
  <c r="BC98" s="1"/>
  <c r="BD97"/>
  <c r="BC97"/>
  <c r="BD96"/>
  <c r="BC96"/>
  <c r="BD95"/>
  <c r="BC95"/>
  <c r="BD94"/>
  <c r="BC94"/>
  <c r="BD93"/>
  <c r="BC93"/>
  <c r="AX93"/>
  <c r="AW93"/>
  <c r="BD92"/>
  <c r="BC92"/>
  <c r="AV91"/>
  <c r="BD91" s="1"/>
  <c r="AU91"/>
  <c r="BC91" s="1"/>
  <c r="AG91"/>
  <c r="AF91"/>
  <c r="BD90"/>
  <c r="BC90"/>
  <c r="BD89"/>
  <c r="BC89"/>
  <c r="BD88"/>
  <c r="BC88"/>
  <c r="BD87"/>
  <c r="BC87"/>
  <c r="BD86"/>
  <c r="BC86"/>
  <c r="AX86"/>
  <c r="AW86"/>
  <c r="BD85"/>
  <c r="BC85"/>
  <c r="BG80"/>
  <c r="BF80"/>
  <c r="BG79"/>
  <c r="BF79"/>
  <c r="BG78"/>
  <c r="BF78"/>
  <c r="BF77"/>
  <c r="BG76"/>
  <c r="BF76"/>
  <c r="BF75"/>
  <c r="BG74"/>
  <c r="BF74"/>
  <c r="BG71"/>
  <c r="BF71"/>
  <c r="BG70"/>
  <c r="BF70"/>
  <c r="BF69"/>
  <c r="BG68"/>
  <c r="BF68"/>
  <c r="BG67"/>
  <c r="BF67"/>
  <c r="BG66"/>
  <c r="BF66"/>
  <c r="BG65"/>
  <c r="BF65"/>
  <c r="BG64"/>
  <c r="BF64"/>
  <c r="BG63"/>
  <c r="BF63"/>
  <c r="BG62"/>
  <c r="BF62"/>
  <c r="BG61"/>
  <c r="BF61"/>
  <c r="BG60"/>
  <c r="BF60"/>
  <c r="BG58"/>
  <c r="BF58"/>
  <c r="BG57"/>
  <c r="BF57"/>
  <c r="BG56"/>
  <c r="BF56"/>
  <c r="AV56"/>
  <c r="AU56"/>
  <c r="BF41" s="1"/>
  <c r="BG55"/>
  <c r="BF55"/>
  <c r="AV55"/>
  <c r="AU55"/>
  <c r="BG54"/>
  <c r="BF54"/>
  <c r="BG53"/>
  <c r="BF53"/>
  <c r="AZ53"/>
  <c r="BG77" s="1"/>
  <c r="AY53"/>
  <c r="BG52"/>
  <c r="BF52"/>
  <c r="AX52"/>
  <c r="AW52"/>
  <c r="BG51"/>
  <c r="BF51"/>
  <c r="AZ51"/>
  <c r="BG75" s="1"/>
  <c r="AY51"/>
  <c r="AV51"/>
  <c r="AU51"/>
  <c r="AV50"/>
  <c r="BG35" s="1"/>
  <c r="AU50"/>
  <c r="AZ49"/>
  <c r="BG73" s="1"/>
  <c r="AY49"/>
  <c r="BF73" s="1"/>
  <c r="BG48"/>
  <c r="BF48"/>
  <c r="AZ48"/>
  <c r="BG72" s="1"/>
  <c r="AY48"/>
  <c r="BF72" s="1"/>
  <c r="BG47"/>
  <c r="BF47"/>
  <c r="AV47"/>
  <c r="BG32" s="1"/>
  <c r="AU47"/>
  <c r="AX46"/>
  <c r="AW46"/>
  <c r="AV46"/>
  <c r="AU46"/>
  <c r="BG45"/>
  <c r="BF45"/>
  <c r="AZ45"/>
  <c r="BG69" s="1"/>
  <c r="AY45"/>
  <c r="AX45"/>
  <c r="AW45"/>
  <c r="AV44"/>
  <c r="AU44"/>
  <c r="AX42"/>
  <c r="AW42"/>
  <c r="AV42"/>
  <c r="BG27" s="1"/>
  <c r="AU42"/>
  <c r="BG41"/>
  <c r="AX41"/>
  <c r="AW41"/>
  <c r="AV41"/>
  <c r="AU41"/>
  <c r="BG40"/>
  <c r="BF40"/>
  <c r="BG39"/>
  <c r="BF39"/>
  <c r="BG38"/>
  <c r="BF38"/>
  <c r="BG37"/>
  <c r="BF37"/>
  <c r="BG36"/>
  <c r="BF36"/>
  <c r="AV36"/>
  <c r="BF35"/>
  <c r="AZ35"/>
  <c r="BG59" s="1"/>
  <c r="AY35"/>
  <c r="BF59" s="1"/>
  <c r="BG34"/>
  <c r="BF34"/>
  <c r="BG33"/>
  <c r="BF33"/>
  <c r="BF32"/>
  <c r="BG31"/>
  <c r="BF31"/>
  <c r="BG30"/>
  <c r="BF30"/>
  <c r="BG29"/>
  <c r="BF29"/>
  <c r="AV29"/>
  <c r="AU29"/>
  <c r="BG28"/>
  <c r="BF28"/>
  <c r="BD28"/>
  <c r="BC28"/>
  <c r="AV28"/>
  <c r="AU28"/>
  <c r="BF27"/>
  <c r="AV27"/>
  <c r="AU27"/>
  <c r="BF12" s="1"/>
  <c r="BG26"/>
  <c r="BF26"/>
  <c r="BC26"/>
  <c r="AZ26"/>
  <c r="BG50" s="1"/>
  <c r="AY26"/>
  <c r="BF50" s="1"/>
  <c r="AV26"/>
  <c r="AU26"/>
  <c r="BG25"/>
  <c r="BF25"/>
  <c r="BC25"/>
  <c r="AZ25"/>
  <c r="BG49" s="1"/>
  <c r="AY25"/>
  <c r="BF49" s="1"/>
  <c r="AV25"/>
  <c r="AU25"/>
  <c r="BG24"/>
  <c r="BF24"/>
  <c r="BG23"/>
  <c r="BF23"/>
  <c r="AX23"/>
  <c r="AW23"/>
  <c r="AV23"/>
  <c r="AU23"/>
  <c r="BG22"/>
  <c r="BF22"/>
  <c r="BD22"/>
  <c r="BC22"/>
  <c r="BG21"/>
  <c r="BF21"/>
  <c r="AZ21"/>
  <c r="BG46" s="1"/>
  <c r="AY21"/>
  <c r="BF46" s="1"/>
  <c r="BG20"/>
  <c r="BF20"/>
  <c r="BD20"/>
  <c r="AX20"/>
  <c r="AW20"/>
  <c r="BG19"/>
  <c r="BF19"/>
  <c r="BD19"/>
  <c r="BC19"/>
  <c r="AZ19"/>
  <c r="BG44" s="1"/>
  <c r="AY19"/>
  <c r="BF44" s="1"/>
  <c r="BG18"/>
  <c r="BF18"/>
  <c r="BD18"/>
  <c r="AZ18"/>
  <c r="BG43" s="1"/>
  <c r="AY18"/>
  <c r="BF43" s="1"/>
  <c r="BG17"/>
  <c r="BF17"/>
  <c r="BD17"/>
  <c r="BC17"/>
  <c r="AZ17"/>
  <c r="BG42" s="1"/>
  <c r="AY17"/>
  <c r="BF42" s="1"/>
  <c r="BG16"/>
  <c r="BF16"/>
  <c r="BG15"/>
  <c r="BF15"/>
  <c r="BD15"/>
  <c r="BC15"/>
  <c r="AX15"/>
  <c r="AW15"/>
  <c r="BG14"/>
  <c r="BF14"/>
  <c r="BD14"/>
  <c r="BC14"/>
  <c r="AZ14"/>
  <c r="BD27" s="1"/>
  <c r="AY14"/>
  <c r="BC27" s="1"/>
  <c r="AX14"/>
  <c r="AW14"/>
  <c r="BG13"/>
  <c r="BF13"/>
  <c r="BD13"/>
  <c r="BC13"/>
  <c r="AZ13"/>
  <c r="BD26" s="1"/>
  <c r="BG12"/>
  <c r="BD12"/>
  <c r="BC12"/>
  <c r="AZ12"/>
  <c r="BD25" s="1"/>
  <c r="BG11"/>
  <c r="BF11"/>
  <c r="BD11"/>
  <c r="BC11"/>
  <c r="AZ11"/>
  <c r="BD24" s="1"/>
  <c r="AY11"/>
  <c r="BC24" s="1"/>
  <c r="BG10"/>
  <c r="BF10"/>
  <c r="BD10"/>
  <c r="BC10"/>
  <c r="BG9"/>
  <c r="BF9"/>
  <c r="BC9"/>
  <c r="AZ9"/>
  <c r="BD23" s="1"/>
  <c r="AY9"/>
  <c r="BC23" s="1"/>
  <c r="BG8"/>
  <c r="BF8"/>
  <c r="AX8"/>
  <c r="AW8"/>
  <c r="AV8"/>
  <c r="BD9" s="1"/>
  <c r="AU8"/>
  <c r="BG7"/>
  <c r="BF7"/>
  <c r="BD7"/>
  <c r="BC7"/>
  <c r="AZ7"/>
  <c r="BD21" s="1"/>
  <c r="AY7"/>
  <c r="BC21" s="1"/>
  <c r="AV7"/>
  <c r="BD8" s="1"/>
  <c r="AU7"/>
  <c r="BC8" s="1"/>
  <c r="BG6"/>
  <c r="BF6"/>
  <c r="BD6"/>
  <c r="BC6"/>
  <c r="AZ6"/>
  <c r="AY6"/>
  <c r="BC20" s="1"/>
  <c r="BG5"/>
  <c r="BF5"/>
  <c r="BD5"/>
  <c r="BC5"/>
  <c r="AX5"/>
  <c r="AW5"/>
  <c r="BG4"/>
  <c r="BF4"/>
  <c r="BD4"/>
  <c r="AZ4"/>
  <c r="AY4"/>
  <c r="BC18" s="1"/>
  <c r="AX4"/>
  <c r="AW4"/>
  <c r="BG3"/>
  <c r="BF3"/>
  <c r="BD3"/>
  <c r="BC3"/>
  <c r="AV3"/>
  <c r="AU3"/>
  <c r="BC4" s="1"/>
  <c r="AZ2"/>
  <c r="BD16" s="1"/>
  <c r="AY2"/>
  <c r="BC16" s="1"/>
  <c r="AK27" i="7" l="1"/>
  <c r="AL27" s="1"/>
  <c r="AE27"/>
  <c r="Z27"/>
  <c r="Y27"/>
  <c r="U27"/>
  <c r="S27"/>
  <c r="R27"/>
  <c r="AK26"/>
  <c r="AL26" s="1"/>
  <c r="AE26"/>
  <c r="Z26"/>
  <c r="Y26"/>
  <c r="U26"/>
  <c r="S26"/>
  <c r="R26"/>
  <c r="AK25"/>
  <c r="AL25" s="1"/>
  <c r="AE25"/>
  <c r="Z25"/>
  <c r="U25"/>
  <c r="S25"/>
  <c r="R25"/>
  <c r="AK24"/>
  <c r="AL24" s="1"/>
  <c r="AE24"/>
  <c r="Z24"/>
  <c r="Y24"/>
  <c r="U24"/>
  <c r="S24"/>
  <c r="R24"/>
  <c r="AK23"/>
  <c r="AL23" s="1"/>
  <c r="AE23"/>
  <c r="Z23"/>
  <c r="Y23"/>
  <c r="U23"/>
  <c r="S23"/>
  <c r="R23"/>
  <c r="AK22"/>
  <c r="AL22" s="1"/>
  <c r="AE22"/>
  <c r="Z22"/>
  <c r="Y22"/>
  <c r="U22"/>
  <c r="S22"/>
  <c r="R22"/>
  <c r="AK21"/>
  <c r="AL21" s="1"/>
  <c r="AE21"/>
  <c r="Z21"/>
  <c r="Y21"/>
  <c r="U21"/>
  <c r="S21"/>
  <c r="R21"/>
  <c r="AK20"/>
  <c r="AL20" s="1"/>
  <c r="AE20"/>
  <c r="Z20"/>
  <c r="Y20"/>
  <c r="U20"/>
  <c r="S20"/>
  <c r="R20"/>
  <c r="AK19"/>
  <c r="AL19" s="1"/>
  <c r="AE19"/>
  <c r="Z19"/>
  <c r="Y19"/>
  <c r="U19"/>
  <c r="S19"/>
  <c r="R19"/>
  <c r="AK18"/>
  <c r="AL18" s="1"/>
  <c r="AE18"/>
  <c r="Z18"/>
  <c r="Y18"/>
  <c r="U18"/>
  <c r="S18"/>
  <c r="R18"/>
  <c r="AK17"/>
  <c r="AL17" s="1"/>
  <c r="AE17"/>
  <c r="Z17"/>
  <c r="Y17"/>
  <c r="U17"/>
  <c r="S17"/>
  <c r="R17"/>
  <c r="AK16"/>
  <c r="AL16" s="1"/>
  <c r="AE16"/>
  <c r="Z16"/>
  <c r="U16"/>
  <c r="S16"/>
  <c r="R16"/>
  <c r="AK15"/>
  <c r="AL15" s="1"/>
  <c r="AE15"/>
  <c r="Z15"/>
  <c r="Y15"/>
  <c r="U15"/>
  <c r="S15"/>
  <c r="R15"/>
  <c r="AK14"/>
  <c r="AL14" s="1"/>
  <c r="AE14"/>
  <c r="Z14"/>
  <c r="Y14"/>
  <c r="U14"/>
  <c r="S14"/>
  <c r="R14"/>
  <c r="AK13"/>
  <c r="AL13" s="1"/>
  <c r="AE13"/>
  <c r="Z13"/>
  <c r="Y13"/>
  <c r="U13"/>
  <c r="S13"/>
  <c r="R13"/>
  <c r="AK12"/>
  <c r="AL12" s="1"/>
  <c r="AE12"/>
  <c r="Z12"/>
  <c r="Y12"/>
  <c r="U12"/>
  <c r="S12"/>
  <c r="R12"/>
  <c r="AK11"/>
  <c r="AL11" s="1"/>
  <c r="AE11"/>
  <c r="Z11"/>
  <c r="U11"/>
  <c r="S11"/>
  <c r="R11"/>
  <c r="AK10"/>
  <c r="AL10" s="1"/>
  <c r="AE10"/>
  <c r="Z10"/>
  <c r="Y10"/>
  <c r="U10"/>
  <c r="S10"/>
  <c r="R10"/>
  <c r="AK9"/>
  <c r="AL9" s="1"/>
  <c r="AE9"/>
  <c r="Z9"/>
  <c r="U9"/>
  <c r="S9"/>
  <c r="R9"/>
  <c r="AK8"/>
  <c r="AL8" s="1"/>
  <c r="AE8"/>
  <c r="Z8"/>
  <c r="U8"/>
  <c r="S8"/>
  <c r="R8"/>
  <c r="AK7"/>
  <c r="AL7" s="1"/>
  <c r="AE7"/>
  <c r="Z7"/>
  <c r="Y7"/>
  <c r="U7"/>
  <c r="S7"/>
  <c r="R7"/>
  <c r="AF51" i="6"/>
  <c r="P51"/>
  <c r="AF50"/>
  <c r="P50"/>
  <c r="AF49"/>
  <c r="AE49"/>
  <c r="X49"/>
  <c r="U49"/>
  <c r="W49" s="1"/>
  <c r="P49"/>
  <c r="AF48"/>
  <c r="P48"/>
  <c r="X47"/>
  <c r="AO47" s="1"/>
  <c r="U47"/>
  <c r="U48" s="1"/>
  <c r="P47"/>
  <c r="AF46"/>
  <c r="AE46"/>
  <c r="X46"/>
  <c r="U46"/>
  <c r="W46" s="1"/>
  <c r="P46"/>
  <c r="X45"/>
  <c r="P45"/>
  <c r="X44"/>
  <c r="AO44" s="1"/>
  <c r="U44"/>
  <c r="U45" s="1"/>
  <c r="W45" s="1"/>
  <c r="P44"/>
  <c r="AF43"/>
  <c r="AE43"/>
  <c r="X43"/>
  <c r="P43"/>
  <c r="X42"/>
  <c r="AO42" s="1"/>
  <c r="U42"/>
  <c r="U43" s="1"/>
  <c r="W43" s="1"/>
  <c r="P42"/>
  <c r="AF41"/>
  <c r="AE41"/>
  <c r="X41"/>
  <c r="U41"/>
  <c r="W41" s="1"/>
  <c r="P41"/>
  <c r="AF40"/>
  <c r="AE40"/>
  <c r="X40"/>
  <c r="U40"/>
  <c r="W40" s="1"/>
  <c r="P40"/>
  <c r="X39"/>
  <c r="AO39" s="1"/>
  <c r="U39"/>
  <c r="W39" s="1"/>
  <c r="P39"/>
  <c r="AF38"/>
  <c r="AE38"/>
  <c r="X38"/>
  <c r="AO38" s="1"/>
  <c r="U38"/>
  <c r="W38" s="1"/>
  <c r="P38"/>
  <c r="AF37"/>
  <c r="AE37"/>
  <c r="X37"/>
  <c r="U37"/>
  <c r="W37" s="1"/>
  <c r="P37"/>
  <c r="AF36"/>
  <c r="AE36"/>
  <c r="X36"/>
  <c r="AO36" s="1"/>
  <c r="U36"/>
  <c r="W36" s="1"/>
  <c r="P36"/>
  <c r="X35"/>
  <c r="P35"/>
  <c r="AF34"/>
  <c r="AE34"/>
  <c r="X34"/>
  <c r="U34"/>
  <c r="U35" s="1"/>
  <c r="W35" s="1"/>
  <c r="P34"/>
  <c r="X33"/>
  <c r="P33"/>
  <c r="AF32"/>
  <c r="AE32"/>
  <c r="X32"/>
  <c r="U32"/>
  <c r="W32" s="1"/>
  <c r="P32"/>
  <c r="AF31"/>
  <c r="AE31"/>
  <c r="X31"/>
  <c r="U31"/>
  <c r="W31" s="1"/>
  <c r="P31"/>
  <c r="X30"/>
  <c r="U30"/>
  <c r="W30" s="1"/>
  <c r="P30"/>
  <c r="AF29"/>
  <c r="AE29"/>
  <c r="X29"/>
  <c r="P29"/>
  <c r="AF28"/>
  <c r="AE28"/>
  <c r="X28"/>
  <c r="U28"/>
  <c r="U29" s="1"/>
  <c r="W29" s="1"/>
  <c r="P28"/>
  <c r="AF27"/>
  <c r="AE27"/>
  <c r="X27"/>
  <c r="U27"/>
  <c r="W27" s="1"/>
  <c r="P27"/>
  <c r="AF26"/>
  <c r="AE26"/>
  <c r="X26"/>
  <c r="AO26" s="1"/>
  <c r="P26"/>
  <c r="X25"/>
  <c r="U25"/>
  <c r="W25" s="1"/>
  <c r="P25"/>
  <c r="AF24"/>
  <c r="W24"/>
  <c r="AF23"/>
  <c r="AE23"/>
  <c r="X23"/>
  <c r="AO23" s="1"/>
  <c r="U23"/>
  <c r="U24" s="1"/>
  <c r="AE24" s="1"/>
  <c r="P23"/>
  <c r="X22"/>
  <c r="U22"/>
  <c r="W22" s="1"/>
  <c r="P22"/>
  <c r="AF21"/>
  <c r="X21"/>
  <c r="P21"/>
  <c r="AF20"/>
  <c r="AE20"/>
  <c r="X20"/>
  <c r="U20"/>
  <c r="U21" s="1"/>
  <c r="P20"/>
  <c r="AF19"/>
  <c r="AE19"/>
  <c r="X19"/>
  <c r="U19"/>
  <c r="W19" s="1"/>
  <c r="P19"/>
  <c r="AF18"/>
  <c r="AE18"/>
  <c r="X18"/>
  <c r="U18"/>
  <c r="W18" s="1"/>
  <c r="P18"/>
  <c r="AF17"/>
  <c r="AE17"/>
  <c r="X17"/>
  <c r="U17"/>
  <c r="W17" s="1"/>
  <c r="P17"/>
  <c r="AF16"/>
  <c r="AE16"/>
  <c r="X16"/>
  <c r="P16"/>
  <c r="AF15"/>
  <c r="AE15"/>
  <c r="X15"/>
  <c r="P15"/>
  <c r="AF14"/>
  <c r="AE14"/>
  <c r="X14"/>
  <c r="U14"/>
  <c r="U15" s="1"/>
  <c r="W15" s="1"/>
  <c r="P14"/>
  <c r="AF13"/>
  <c r="AE13"/>
  <c r="X13"/>
  <c r="AO13" s="1"/>
  <c r="U13"/>
  <c r="W13" s="1"/>
  <c r="P13"/>
  <c r="AL12"/>
  <c r="AF12"/>
  <c r="W12"/>
  <c r="U12"/>
  <c r="AE12" s="1"/>
  <c r="AF11"/>
  <c r="AE11"/>
  <c r="X11"/>
  <c r="U11"/>
  <c r="W11" s="1"/>
  <c r="P11"/>
  <c r="Y8" i="7" l="1"/>
  <c r="Y9"/>
  <c r="Y11"/>
  <c r="Y16"/>
  <c r="Y25"/>
  <c r="T7"/>
  <c r="AD7"/>
  <c r="T8"/>
  <c r="AD8"/>
  <c r="T9"/>
  <c r="AD9"/>
  <c r="T10"/>
  <c r="AD10"/>
  <c r="T11"/>
  <c r="AD11"/>
  <c r="T12"/>
  <c r="AD12"/>
  <c r="T13"/>
  <c r="AD13"/>
  <c r="T14"/>
  <c r="AD14"/>
  <c r="T15"/>
  <c r="AD15"/>
  <c r="T16"/>
  <c r="AD16"/>
  <c r="T17"/>
  <c r="AD17"/>
  <c r="T18"/>
  <c r="AD18"/>
  <c r="T19"/>
  <c r="AD19"/>
  <c r="T20"/>
  <c r="AD20"/>
  <c r="T21"/>
  <c r="AD21"/>
  <c r="T22"/>
  <c r="AD22"/>
  <c r="T23"/>
  <c r="AD23"/>
  <c r="T24"/>
  <c r="AD24"/>
  <c r="T25"/>
  <c r="AD25"/>
  <c r="T26"/>
  <c r="AD26"/>
  <c r="T27"/>
  <c r="AD27"/>
  <c r="W28" i="6"/>
  <c r="U16"/>
  <c r="W16" s="1"/>
  <c r="W14"/>
  <c r="U51"/>
  <c r="AE51" s="1"/>
  <c r="W23"/>
  <c r="W34"/>
  <c r="U50"/>
  <c r="AE50" s="1"/>
  <c r="U33"/>
  <c r="W33" s="1"/>
  <c r="W21"/>
  <c r="AE21"/>
  <c r="W48"/>
  <c r="AE48"/>
  <c r="W44"/>
  <c r="W51"/>
  <c r="U26"/>
  <c r="W26" s="1"/>
  <c r="W42"/>
  <c r="W47"/>
  <c r="W20"/>
  <c r="W50" l="1"/>
  <c r="AQ162" i="5" l="1"/>
  <c r="AP162"/>
  <c r="AN162"/>
  <c r="AM162"/>
  <c r="V162"/>
  <c r="K162"/>
  <c r="J162"/>
  <c r="AQ161"/>
  <c r="AP161"/>
  <c r="AN161"/>
  <c r="AM161"/>
  <c r="V161"/>
  <c r="K161"/>
  <c r="J161"/>
  <c r="AQ160"/>
  <c r="AP160"/>
  <c r="AN160"/>
  <c r="AM160"/>
  <c r="V160"/>
  <c r="K160"/>
  <c r="J160"/>
  <c r="AQ159"/>
  <c r="BB159" s="1"/>
  <c r="AP159"/>
  <c r="BA159" s="1"/>
  <c r="AN159"/>
  <c r="AM159"/>
  <c r="V159"/>
  <c r="K159"/>
  <c r="J159"/>
  <c r="AQ158"/>
  <c r="AP158"/>
  <c r="AN158"/>
  <c r="AM158"/>
  <c r="V158"/>
  <c r="K158"/>
  <c r="J158"/>
  <c r="AQ157"/>
  <c r="AP157"/>
  <c r="AN157"/>
  <c r="AM157"/>
  <c r="V157"/>
  <c r="K157"/>
  <c r="J157"/>
  <c r="AQ156"/>
  <c r="BB155" s="1"/>
  <c r="AP156"/>
  <c r="AN156"/>
  <c r="AM156"/>
  <c r="V156"/>
  <c r="K156"/>
  <c r="J156"/>
  <c r="BA155"/>
  <c r="AS155"/>
  <c r="AQ155"/>
  <c r="AP155"/>
  <c r="AN155"/>
  <c r="AM155"/>
  <c r="V155"/>
  <c r="K155"/>
  <c r="J155"/>
  <c r="AS154"/>
  <c r="AQ154"/>
  <c r="AP154"/>
  <c r="AN154"/>
  <c r="AM154"/>
  <c r="V154"/>
  <c r="K154"/>
  <c r="J154"/>
  <c r="AS153"/>
  <c r="AQ153"/>
  <c r="AP153"/>
  <c r="AN153"/>
  <c r="AM153"/>
  <c r="V153"/>
  <c r="K153"/>
  <c r="J153"/>
  <c r="AS152"/>
  <c r="AQ152"/>
  <c r="AP152"/>
  <c r="AN152"/>
  <c r="AM152"/>
  <c r="V152"/>
  <c r="K152"/>
  <c r="J152"/>
  <c r="BB151"/>
  <c r="AS151"/>
  <c r="AQ151"/>
  <c r="AP151"/>
  <c r="BA151" s="1"/>
  <c r="AN151"/>
  <c r="AM151"/>
  <c r="V151"/>
  <c r="K151"/>
  <c r="J151"/>
  <c r="AN150"/>
  <c r="AM150"/>
  <c r="AK150"/>
  <c r="AP150" s="1"/>
  <c r="AJ150"/>
  <c r="AI150"/>
  <c r="AH150"/>
  <c r="AG150"/>
  <c r="AF150"/>
  <c r="AD150"/>
  <c r="AC150"/>
  <c r="Y150"/>
  <c r="X150"/>
  <c r="W150"/>
  <c r="U150"/>
  <c r="T150"/>
  <c r="S150"/>
  <c r="O150"/>
  <c r="V150" s="1"/>
  <c r="N150"/>
  <c r="M150"/>
  <c r="L150"/>
  <c r="K150"/>
  <c r="B150"/>
  <c r="AM149"/>
  <c r="AK149"/>
  <c r="AQ149" s="1"/>
  <c r="AJ149"/>
  <c r="AI149"/>
  <c r="AH149"/>
  <c r="AG149"/>
  <c r="AN149" s="1"/>
  <c r="AF149"/>
  <c r="AD149"/>
  <c r="AC149"/>
  <c r="Y149"/>
  <c r="X149"/>
  <c r="W149"/>
  <c r="U149"/>
  <c r="T149"/>
  <c r="S149"/>
  <c r="O149"/>
  <c r="V149" s="1"/>
  <c r="N149"/>
  <c r="M149"/>
  <c r="L149"/>
  <c r="K149"/>
  <c r="B149"/>
  <c r="AM148"/>
  <c r="AK148"/>
  <c r="AQ148" s="1"/>
  <c r="AJ148"/>
  <c r="AI148"/>
  <c r="AH148"/>
  <c r="AG148"/>
  <c r="AN148" s="1"/>
  <c r="AF148"/>
  <c r="AD148"/>
  <c r="AC148"/>
  <c r="Y148"/>
  <c r="X148"/>
  <c r="W148"/>
  <c r="U148"/>
  <c r="T148"/>
  <c r="S148"/>
  <c r="O148"/>
  <c r="V148" s="1"/>
  <c r="N148"/>
  <c r="M148"/>
  <c r="L148"/>
  <c r="K148"/>
  <c r="B148"/>
  <c r="AK147"/>
  <c r="AP147" s="1"/>
  <c r="AJ147"/>
  <c r="AI147"/>
  <c r="AH147"/>
  <c r="AG147"/>
  <c r="AM147" s="1"/>
  <c r="AF147"/>
  <c r="AD147"/>
  <c r="AC147"/>
  <c r="Y147"/>
  <c r="X147"/>
  <c r="W147"/>
  <c r="U147"/>
  <c r="T147"/>
  <c r="S147"/>
  <c r="O147"/>
  <c r="N147"/>
  <c r="M147"/>
  <c r="V147" s="1"/>
  <c r="L147"/>
  <c r="K147"/>
  <c r="B147"/>
  <c r="AN146"/>
  <c r="AK146"/>
  <c r="AQ146" s="1"/>
  <c r="AJ146"/>
  <c r="AP146" s="1"/>
  <c r="AI146"/>
  <c r="AH146"/>
  <c r="AG146"/>
  <c r="AF146"/>
  <c r="AM146" s="1"/>
  <c r="AD146"/>
  <c r="AC146"/>
  <c r="Y146"/>
  <c r="X146"/>
  <c r="W146"/>
  <c r="U146"/>
  <c r="T146"/>
  <c r="S146"/>
  <c r="O146"/>
  <c r="N146"/>
  <c r="M146"/>
  <c r="V146" s="1"/>
  <c r="L146"/>
  <c r="K146"/>
  <c r="B146"/>
  <c r="AN145"/>
  <c r="AK145"/>
  <c r="AQ145" s="1"/>
  <c r="AJ145"/>
  <c r="AP145" s="1"/>
  <c r="BA145" s="1"/>
  <c r="AI145"/>
  <c r="AH145"/>
  <c r="AG145"/>
  <c r="AF145"/>
  <c r="AM145" s="1"/>
  <c r="AD145"/>
  <c r="AC145"/>
  <c r="Y145"/>
  <c r="X145"/>
  <c r="W145"/>
  <c r="U145"/>
  <c r="T145"/>
  <c r="S145"/>
  <c r="O145"/>
  <c r="N145"/>
  <c r="M145"/>
  <c r="V145" s="1"/>
  <c r="L145"/>
  <c r="K145"/>
  <c r="B145"/>
  <c r="AQ144"/>
  <c r="AP144"/>
  <c r="AN144"/>
  <c r="AM144"/>
  <c r="V144"/>
  <c r="K144"/>
  <c r="J144"/>
  <c r="AQ143"/>
  <c r="AP143"/>
  <c r="AN143"/>
  <c r="AM143"/>
  <c r="V143"/>
  <c r="K143"/>
  <c r="J143"/>
  <c r="AQ142"/>
  <c r="AP142"/>
  <c r="AN142"/>
  <c r="AM142"/>
  <c r="V142"/>
  <c r="K142"/>
  <c r="J142"/>
  <c r="AQ141"/>
  <c r="AP141"/>
  <c r="AN141"/>
  <c r="AM141"/>
  <c r="V141"/>
  <c r="K141"/>
  <c r="J141"/>
  <c r="AQ140"/>
  <c r="AP140"/>
  <c r="AN140"/>
  <c r="AM140"/>
  <c r="V140"/>
  <c r="K140"/>
  <c r="J140"/>
  <c r="AQ139"/>
  <c r="AP139"/>
  <c r="AN139"/>
  <c r="AM139"/>
  <c r="V139"/>
  <c r="K139"/>
  <c r="J139"/>
  <c r="AQ138"/>
  <c r="AP138"/>
  <c r="AN138"/>
  <c r="AM138"/>
  <c r="V138"/>
  <c r="K138"/>
  <c r="J138"/>
  <c r="AQ137"/>
  <c r="AP137"/>
  <c r="AN137"/>
  <c r="AM137"/>
  <c r="V137"/>
  <c r="K137"/>
  <c r="J137"/>
  <c r="AN136"/>
  <c r="AM136"/>
  <c r="AK136"/>
  <c r="AP136" s="1"/>
  <c r="AJ136"/>
  <c r="AI136"/>
  <c r="AH136"/>
  <c r="AG136"/>
  <c r="AF136"/>
  <c r="AD136"/>
  <c r="AC136"/>
  <c r="Y136"/>
  <c r="X136"/>
  <c r="W136"/>
  <c r="U136"/>
  <c r="T136"/>
  <c r="S136"/>
  <c r="O136"/>
  <c r="V136" s="1"/>
  <c r="N136"/>
  <c r="M136"/>
  <c r="L136"/>
  <c r="K136"/>
  <c r="B136"/>
  <c r="AK135"/>
  <c r="AQ135" s="1"/>
  <c r="AJ135"/>
  <c r="AI135"/>
  <c r="AH135"/>
  <c r="AG135"/>
  <c r="AM135" s="1"/>
  <c r="AF135"/>
  <c r="AD135"/>
  <c r="AC135"/>
  <c r="Y135"/>
  <c r="X135"/>
  <c r="W135"/>
  <c r="U135"/>
  <c r="T135"/>
  <c r="S135"/>
  <c r="O135"/>
  <c r="V135" s="1"/>
  <c r="N135"/>
  <c r="M135"/>
  <c r="L135"/>
  <c r="K135"/>
  <c r="B135"/>
  <c r="AM134"/>
  <c r="AK134"/>
  <c r="AQ134" s="1"/>
  <c r="AJ134"/>
  <c r="AI134"/>
  <c r="AH134"/>
  <c r="AG134"/>
  <c r="AN134" s="1"/>
  <c r="AF134"/>
  <c r="AD134"/>
  <c r="AC134"/>
  <c r="Y134"/>
  <c r="X134"/>
  <c r="W134"/>
  <c r="U134"/>
  <c r="T134"/>
  <c r="S134"/>
  <c r="O134"/>
  <c r="V134" s="1"/>
  <c r="N134"/>
  <c r="M134"/>
  <c r="L134"/>
  <c r="K134"/>
  <c r="B134"/>
  <c r="AK133"/>
  <c r="AP133" s="1"/>
  <c r="AJ133"/>
  <c r="AI133"/>
  <c r="AH133"/>
  <c r="AG133"/>
  <c r="AM133" s="1"/>
  <c r="AF133"/>
  <c r="AD133"/>
  <c r="AC133"/>
  <c r="Y133"/>
  <c r="X133"/>
  <c r="W133"/>
  <c r="U133"/>
  <c r="T133"/>
  <c r="S133"/>
  <c r="O133"/>
  <c r="N133"/>
  <c r="M133"/>
  <c r="V133" s="1"/>
  <c r="L133"/>
  <c r="K133"/>
  <c r="B133"/>
  <c r="AN132"/>
  <c r="AK132"/>
  <c r="AQ132" s="1"/>
  <c r="AJ132"/>
  <c r="AP132" s="1"/>
  <c r="AI132"/>
  <c r="AH132"/>
  <c r="AG132"/>
  <c r="AF132"/>
  <c r="AM132" s="1"/>
  <c r="AD132"/>
  <c r="AC132"/>
  <c r="Y132"/>
  <c r="X132"/>
  <c r="W132"/>
  <c r="U132"/>
  <c r="T132"/>
  <c r="S132"/>
  <c r="O132"/>
  <c r="N132"/>
  <c r="M132"/>
  <c r="V132" s="1"/>
  <c r="L132"/>
  <c r="K132"/>
  <c r="B132"/>
  <c r="AN131"/>
  <c r="AK131"/>
  <c r="AQ131" s="1"/>
  <c r="AJ131"/>
  <c r="AP131" s="1"/>
  <c r="BA131" s="1"/>
  <c r="AI131"/>
  <c r="AH131"/>
  <c r="AG131"/>
  <c r="AF131"/>
  <c r="AM131" s="1"/>
  <c r="AD131"/>
  <c r="AC131"/>
  <c r="Y131"/>
  <c r="X131"/>
  <c r="W131"/>
  <c r="U131"/>
  <c r="T131"/>
  <c r="S131"/>
  <c r="O131"/>
  <c r="N131"/>
  <c r="M131"/>
  <c r="V131" s="1"/>
  <c r="L131"/>
  <c r="K131"/>
  <c r="B131"/>
  <c r="AN130"/>
  <c r="AM130"/>
  <c r="AK130"/>
  <c r="AP130" s="1"/>
  <c r="AJ130"/>
  <c r="AI130"/>
  <c r="AH130"/>
  <c r="AG130"/>
  <c r="AF130"/>
  <c r="AD130"/>
  <c r="AC130"/>
  <c r="Y130"/>
  <c r="X130"/>
  <c r="W130"/>
  <c r="U130"/>
  <c r="T130"/>
  <c r="S130"/>
  <c r="O130"/>
  <c r="V130" s="1"/>
  <c r="N130"/>
  <c r="M130"/>
  <c r="L130"/>
  <c r="K130"/>
  <c r="B130"/>
  <c r="AK129"/>
  <c r="AQ129" s="1"/>
  <c r="AJ129"/>
  <c r="AI129"/>
  <c r="AH129"/>
  <c r="AG129"/>
  <c r="AM129" s="1"/>
  <c r="AF129"/>
  <c r="AD129"/>
  <c r="AC129"/>
  <c r="Y129"/>
  <c r="X129"/>
  <c r="W129"/>
  <c r="U129"/>
  <c r="T129"/>
  <c r="S129"/>
  <c r="O129"/>
  <c r="V129" s="1"/>
  <c r="N129"/>
  <c r="M129"/>
  <c r="L129"/>
  <c r="K129"/>
  <c r="B129"/>
  <c r="AM128"/>
  <c r="AK128"/>
  <c r="AQ128" s="1"/>
  <c r="AJ128"/>
  <c r="AI128"/>
  <c r="AH128"/>
  <c r="AG128"/>
  <c r="AN128" s="1"/>
  <c r="AF128"/>
  <c r="AD128"/>
  <c r="AC128"/>
  <c r="Y128"/>
  <c r="X128"/>
  <c r="W128"/>
  <c r="U128"/>
  <c r="T128"/>
  <c r="S128"/>
  <c r="O128"/>
  <c r="V128" s="1"/>
  <c r="N128"/>
  <c r="M128"/>
  <c r="L128"/>
  <c r="K128"/>
  <c r="B128"/>
  <c r="AK127"/>
  <c r="AP127" s="1"/>
  <c r="AJ127"/>
  <c r="AI127"/>
  <c r="AH127"/>
  <c r="AG127"/>
  <c r="AM127" s="1"/>
  <c r="AF127"/>
  <c r="AD127"/>
  <c r="AC127"/>
  <c r="Y127"/>
  <c r="X127"/>
  <c r="W127"/>
  <c r="U127"/>
  <c r="T127"/>
  <c r="S127"/>
  <c r="O127"/>
  <c r="N127"/>
  <c r="M127"/>
  <c r="V127" s="1"/>
  <c r="L127"/>
  <c r="K127"/>
  <c r="B127"/>
  <c r="AN126"/>
  <c r="AK126"/>
  <c r="AQ126" s="1"/>
  <c r="AJ126"/>
  <c r="AP126" s="1"/>
  <c r="AI126"/>
  <c r="AH126"/>
  <c r="AG126"/>
  <c r="AF126"/>
  <c r="AM126" s="1"/>
  <c r="AD126"/>
  <c r="AC126"/>
  <c r="Y126"/>
  <c r="X126"/>
  <c r="W126"/>
  <c r="U126"/>
  <c r="T126"/>
  <c r="S126"/>
  <c r="O126"/>
  <c r="N126"/>
  <c r="M126"/>
  <c r="V126" s="1"/>
  <c r="L126"/>
  <c r="K126"/>
  <c r="B126"/>
  <c r="AN125"/>
  <c r="AK125"/>
  <c r="AQ125" s="1"/>
  <c r="AJ125"/>
  <c r="AP125" s="1"/>
  <c r="BA125" s="1"/>
  <c r="AI125"/>
  <c r="AH125"/>
  <c r="AG125"/>
  <c r="AF125"/>
  <c r="AM125" s="1"/>
  <c r="AD125"/>
  <c r="AC125"/>
  <c r="Y125"/>
  <c r="X125"/>
  <c r="W125"/>
  <c r="U125"/>
  <c r="T125"/>
  <c r="S125"/>
  <c r="O125"/>
  <c r="N125"/>
  <c r="M125"/>
  <c r="V125" s="1"/>
  <c r="L125"/>
  <c r="K125"/>
  <c r="B125"/>
  <c r="AN124"/>
  <c r="AM124"/>
  <c r="AK124"/>
  <c r="AP124" s="1"/>
  <c r="AJ124"/>
  <c r="AI124"/>
  <c r="AH124"/>
  <c r="AG124"/>
  <c r="AF124"/>
  <c r="AD124"/>
  <c r="AC124"/>
  <c r="Y124"/>
  <c r="X124"/>
  <c r="W124"/>
  <c r="U124"/>
  <c r="T124"/>
  <c r="S124"/>
  <c r="O124"/>
  <c r="V124" s="1"/>
  <c r="N124"/>
  <c r="M124"/>
  <c r="L124"/>
  <c r="K124"/>
  <c r="B124"/>
  <c r="AK123"/>
  <c r="AQ123" s="1"/>
  <c r="AJ123"/>
  <c r="AI123"/>
  <c r="AH123"/>
  <c r="AG123"/>
  <c r="AM123" s="1"/>
  <c r="AF123"/>
  <c r="AD123"/>
  <c r="AC123"/>
  <c r="Y123"/>
  <c r="X123"/>
  <c r="W123"/>
  <c r="U123"/>
  <c r="T123"/>
  <c r="S123"/>
  <c r="O123"/>
  <c r="V123" s="1"/>
  <c r="N123"/>
  <c r="M123"/>
  <c r="L123"/>
  <c r="K123"/>
  <c r="B123"/>
  <c r="AK122"/>
  <c r="AQ122" s="1"/>
  <c r="AJ122"/>
  <c r="AI122"/>
  <c r="AH122"/>
  <c r="AG122"/>
  <c r="AM122" s="1"/>
  <c r="AF122"/>
  <c r="AD122"/>
  <c r="AC122"/>
  <c r="Y122"/>
  <c r="X122"/>
  <c r="W122"/>
  <c r="U122"/>
  <c r="T122"/>
  <c r="S122"/>
  <c r="O122"/>
  <c r="V122" s="1"/>
  <c r="N122"/>
  <c r="M122"/>
  <c r="L122"/>
  <c r="K122"/>
  <c r="B122"/>
  <c r="AK121"/>
  <c r="AP121" s="1"/>
  <c r="AJ121"/>
  <c r="AI121"/>
  <c r="AH121"/>
  <c r="AG121"/>
  <c r="AM121" s="1"/>
  <c r="AF121"/>
  <c r="AD121"/>
  <c r="AC121"/>
  <c r="Y121"/>
  <c r="X121"/>
  <c r="W121"/>
  <c r="U121"/>
  <c r="T121"/>
  <c r="S121"/>
  <c r="O121"/>
  <c r="N121"/>
  <c r="M121"/>
  <c r="V121" s="1"/>
  <c r="L121"/>
  <c r="K121"/>
  <c r="B121"/>
  <c r="AN120"/>
  <c r="AK120"/>
  <c r="AQ120" s="1"/>
  <c r="AJ120"/>
  <c r="AP120" s="1"/>
  <c r="AI120"/>
  <c r="AH120"/>
  <c r="AG120"/>
  <c r="AF120"/>
  <c r="AM120" s="1"/>
  <c r="AD120"/>
  <c r="AC120"/>
  <c r="Y120"/>
  <c r="X120"/>
  <c r="W120"/>
  <c r="U120"/>
  <c r="T120"/>
  <c r="S120"/>
  <c r="O120"/>
  <c r="N120"/>
  <c r="M120"/>
  <c r="V120" s="1"/>
  <c r="L120"/>
  <c r="K120"/>
  <c r="B120"/>
  <c r="AN119"/>
  <c r="AK119"/>
  <c r="AQ119" s="1"/>
  <c r="AJ119"/>
  <c r="AP119" s="1"/>
  <c r="AI119"/>
  <c r="AH119"/>
  <c r="AG119"/>
  <c r="AF119"/>
  <c r="AM119" s="1"/>
  <c r="AD119"/>
  <c r="AC119"/>
  <c r="Y119"/>
  <c r="X119"/>
  <c r="W119"/>
  <c r="U119"/>
  <c r="T119"/>
  <c r="S119"/>
  <c r="O119"/>
  <c r="N119"/>
  <c r="M119"/>
  <c r="V119" s="1"/>
  <c r="L119"/>
  <c r="K119"/>
  <c r="B119"/>
  <c r="AN118"/>
  <c r="AM118"/>
  <c r="AK118"/>
  <c r="AP118" s="1"/>
  <c r="AJ118"/>
  <c r="AI118"/>
  <c r="AH118"/>
  <c r="AG118"/>
  <c r="AF118"/>
  <c r="AD118"/>
  <c r="AC118"/>
  <c r="Y118"/>
  <c r="X118"/>
  <c r="W118"/>
  <c r="U118"/>
  <c r="T118"/>
  <c r="S118"/>
  <c r="O118"/>
  <c r="V118" s="1"/>
  <c r="N118"/>
  <c r="M118"/>
  <c r="L118"/>
  <c r="K118"/>
  <c r="B118"/>
  <c r="AN117"/>
  <c r="AM117"/>
  <c r="AK117"/>
  <c r="AP117" s="1"/>
  <c r="BA117" s="1"/>
  <c r="AJ117"/>
  <c r="AI117"/>
  <c r="AH117"/>
  <c r="AG117"/>
  <c r="AF117"/>
  <c r="AD117"/>
  <c r="AC117"/>
  <c r="Y117"/>
  <c r="X117"/>
  <c r="W117"/>
  <c r="U117"/>
  <c r="T117"/>
  <c r="S117"/>
  <c r="O117"/>
  <c r="V117" s="1"/>
  <c r="N117"/>
  <c r="M117"/>
  <c r="L117"/>
  <c r="K117"/>
  <c r="B117"/>
  <c r="AK116"/>
  <c r="AQ116" s="1"/>
  <c r="AJ116"/>
  <c r="AI116"/>
  <c r="AH116"/>
  <c r="AG116"/>
  <c r="AM116" s="1"/>
  <c r="AF116"/>
  <c r="AD116"/>
  <c r="AC116"/>
  <c r="Y116"/>
  <c r="X116"/>
  <c r="W116"/>
  <c r="U116"/>
  <c r="T116"/>
  <c r="S116"/>
  <c r="O116"/>
  <c r="V116" s="1"/>
  <c r="N116"/>
  <c r="M116"/>
  <c r="L116"/>
  <c r="K116"/>
  <c r="B116"/>
  <c r="AK115"/>
  <c r="AQ115" s="1"/>
  <c r="AJ115"/>
  <c r="AP115" s="1"/>
  <c r="AI115"/>
  <c r="AH115"/>
  <c r="AG115"/>
  <c r="AM115" s="1"/>
  <c r="AF115"/>
  <c r="AD115"/>
  <c r="AC115"/>
  <c r="Y115"/>
  <c r="X115"/>
  <c r="W115"/>
  <c r="U115"/>
  <c r="T115"/>
  <c r="S115"/>
  <c r="O115"/>
  <c r="N115"/>
  <c r="M115"/>
  <c r="V115" s="1"/>
  <c r="L115"/>
  <c r="K115"/>
  <c r="B115"/>
  <c r="AK114"/>
  <c r="AP114" s="1"/>
  <c r="AJ114"/>
  <c r="AI114"/>
  <c r="AH114"/>
  <c r="AG114"/>
  <c r="AM114" s="1"/>
  <c r="AF114"/>
  <c r="AD114"/>
  <c r="AC114"/>
  <c r="Y114"/>
  <c r="X114"/>
  <c r="W114"/>
  <c r="U114"/>
  <c r="T114"/>
  <c r="S114"/>
  <c r="O114"/>
  <c r="N114"/>
  <c r="M114"/>
  <c r="V114" s="1"/>
  <c r="L114"/>
  <c r="K114"/>
  <c r="B114"/>
  <c r="AN113"/>
  <c r="AK113"/>
  <c r="AQ113" s="1"/>
  <c r="AJ113"/>
  <c r="AP113" s="1"/>
  <c r="AI113"/>
  <c r="AH113"/>
  <c r="AG113"/>
  <c r="AF113"/>
  <c r="AM113" s="1"/>
  <c r="AD113"/>
  <c r="AC113"/>
  <c r="Y113"/>
  <c r="X113"/>
  <c r="W113"/>
  <c r="U113"/>
  <c r="T113"/>
  <c r="S113"/>
  <c r="O113"/>
  <c r="N113"/>
  <c r="M113"/>
  <c r="V113" s="1"/>
  <c r="L113"/>
  <c r="K113"/>
  <c r="B113"/>
  <c r="AN112"/>
  <c r="AM112"/>
  <c r="AK112"/>
  <c r="AP112" s="1"/>
  <c r="AJ112"/>
  <c r="AI112"/>
  <c r="AH112"/>
  <c r="AG112"/>
  <c r="AF112"/>
  <c r="AD112"/>
  <c r="AC112"/>
  <c r="Y112"/>
  <c r="X112"/>
  <c r="W112"/>
  <c r="U112"/>
  <c r="T112"/>
  <c r="S112"/>
  <c r="O112"/>
  <c r="V112" s="1"/>
  <c r="N112"/>
  <c r="M112"/>
  <c r="L112"/>
  <c r="K112"/>
  <c r="B112"/>
  <c r="AN111"/>
  <c r="AM111"/>
  <c r="AK111"/>
  <c r="AP111" s="1"/>
  <c r="AJ111"/>
  <c r="AI111"/>
  <c r="AH111"/>
  <c r="AG111"/>
  <c r="AF111"/>
  <c r="AD111"/>
  <c r="AC111"/>
  <c r="Y111"/>
  <c r="X111"/>
  <c r="W111"/>
  <c r="U111"/>
  <c r="T111"/>
  <c r="S111"/>
  <c r="O111"/>
  <c r="V111" s="1"/>
  <c r="N111"/>
  <c r="M111"/>
  <c r="L111"/>
  <c r="K111"/>
  <c r="B111"/>
  <c r="AK110"/>
  <c r="AQ110" s="1"/>
  <c r="AJ110"/>
  <c r="AI110"/>
  <c r="AH110"/>
  <c r="AG110"/>
  <c r="AM110" s="1"/>
  <c r="AF110"/>
  <c r="AD110"/>
  <c r="AC110"/>
  <c r="Y110"/>
  <c r="X110"/>
  <c r="W110"/>
  <c r="U110"/>
  <c r="T110"/>
  <c r="S110"/>
  <c r="O110"/>
  <c r="V110" s="1"/>
  <c r="N110"/>
  <c r="M110"/>
  <c r="L110"/>
  <c r="K110"/>
  <c r="B110"/>
  <c r="AK109"/>
  <c r="AP109" s="1"/>
  <c r="AJ109"/>
  <c r="AI109"/>
  <c r="AH109"/>
  <c r="AG109"/>
  <c r="AM109" s="1"/>
  <c r="AF109"/>
  <c r="AD109"/>
  <c r="AC109"/>
  <c r="Y109"/>
  <c r="X109"/>
  <c r="W109"/>
  <c r="U109"/>
  <c r="T109"/>
  <c r="S109"/>
  <c r="O109"/>
  <c r="N109"/>
  <c r="M109"/>
  <c r="V109" s="1"/>
  <c r="L109"/>
  <c r="K109"/>
  <c r="B109"/>
  <c r="AK108"/>
  <c r="AP108" s="1"/>
  <c r="BA108" s="1"/>
  <c r="AJ108"/>
  <c r="AI108"/>
  <c r="AH108"/>
  <c r="AG108"/>
  <c r="AM108" s="1"/>
  <c r="AF108"/>
  <c r="AD108"/>
  <c r="AC108"/>
  <c r="Y108"/>
  <c r="X108"/>
  <c r="W108"/>
  <c r="U108"/>
  <c r="T108"/>
  <c r="S108"/>
  <c r="O108"/>
  <c r="N108"/>
  <c r="M108"/>
  <c r="V108" s="1"/>
  <c r="L108"/>
  <c r="K108"/>
  <c r="B108"/>
  <c r="AN107"/>
  <c r="AK107"/>
  <c r="AQ107" s="1"/>
  <c r="AJ107"/>
  <c r="AP107" s="1"/>
  <c r="AI107"/>
  <c r="AH107"/>
  <c r="AG107"/>
  <c r="AF107"/>
  <c r="AM107" s="1"/>
  <c r="AD107"/>
  <c r="AC107"/>
  <c r="Y107"/>
  <c r="X107"/>
  <c r="W107"/>
  <c r="U107"/>
  <c r="T107"/>
  <c r="S107"/>
  <c r="O107"/>
  <c r="N107"/>
  <c r="M107"/>
  <c r="V107" s="1"/>
  <c r="L107"/>
  <c r="K107"/>
  <c r="B107"/>
  <c r="AN106"/>
  <c r="AM106"/>
  <c r="AK106"/>
  <c r="AP106" s="1"/>
  <c r="AJ106"/>
  <c r="AI106"/>
  <c r="AH106"/>
  <c r="AG106"/>
  <c r="AF106"/>
  <c r="AD106"/>
  <c r="AC106"/>
  <c r="Y106"/>
  <c r="X106"/>
  <c r="W106"/>
  <c r="U106"/>
  <c r="T106"/>
  <c r="S106"/>
  <c r="O106"/>
  <c r="V106" s="1"/>
  <c r="N106"/>
  <c r="M106"/>
  <c r="L106"/>
  <c r="K106"/>
  <c r="B106"/>
  <c r="AN105"/>
  <c r="AM105"/>
  <c r="AK105"/>
  <c r="AP105" s="1"/>
  <c r="AJ105"/>
  <c r="AI105"/>
  <c r="AH105"/>
  <c r="AG105"/>
  <c r="AF105"/>
  <c r="AD105"/>
  <c r="AC105"/>
  <c r="Y105"/>
  <c r="X105"/>
  <c r="W105"/>
  <c r="U105"/>
  <c r="T105"/>
  <c r="S105"/>
  <c r="O105"/>
  <c r="V105" s="1"/>
  <c r="N105"/>
  <c r="M105"/>
  <c r="L105"/>
  <c r="K105"/>
  <c r="B105"/>
  <c r="AK104"/>
  <c r="AQ104" s="1"/>
  <c r="AJ104"/>
  <c r="AI104"/>
  <c r="AH104"/>
  <c r="AG104"/>
  <c r="AM104" s="1"/>
  <c r="AF104"/>
  <c r="AD104"/>
  <c r="AC104"/>
  <c r="Y104"/>
  <c r="X104"/>
  <c r="W104"/>
  <c r="U104"/>
  <c r="T104"/>
  <c r="S104"/>
  <c r="O104"/>
  <c r="V104" s="1"/>
  <c r="N104"/>
  <c r="M104"/>
  <c r="L104"/>
  <c r="K104"/>
  <c r="B104"/>
  <c r="AK103"/>
  <c r="AQ103" s="1"/>
  <c r="AJ103"/>
  <c r="AP103" s="1"/>
  <c r="AI103"/>
  <c r="AH103"/>
  <c r="AG103"/>
  <c r="AM103" s="1"/>
  <c r="AF103"/>
  <c r="AD103"/>
  <c r="AC103"/>
  <c r="Y103"/>
  <c r="X103"/>
  <c r="W103"/>
  <c r="U103"/>
  <c r="T103"/>
  <c r="S103"/>
  <c r="O103"/>
  <c r="N103"/>
  <c r="M103"/>
  <c r="V103" s="1"/>
  <c r="L103"/>
  <c r="K103"/>
  <c r="B103"/>
  <c r="AK102"/>
  <c r="AP102" s="1"/>
  <c r="AJ102"/>
  <c r="AI102"/>
  <c r="AH102"/>
  <c r="AG102"/>
  <c r="AM102" s="1"/>
  <c r="AF102"/>
  <c r="AD102"/>
  <c r="AC102"/>
  <c r="Y102"/>
  <c r="X102"/>
  <c r="W102"/>
  <c r="U102"/>
  <c r="T102"/>
  <c r="S102"/>
  <c r="O102"/>
  <c r="N102"/>
  <c r="M102"/>
  <c r="V102" s="1"/>
  <c r="L102"/>
  <c r="K102"/>
  <c r="B102"/>
  <c r="AQ101"/>
  <c r="AP101"/>
  <c r="AN101"/>
  <c r="AM101"/>
  <c r="V101"/>
  <c r="K101"/>
  <c r="J101"/>
  <c r="AQ100"/>
  <c r="AP100"/>
  <c r="AN100"/>
  <c r="AM100"/>
  <c r="V100"/>
  <c r="K100"/>
  <c r="J100"/>
  <c r="AQ99"/>
  <c r="AP99"/>
  <c r="AN99"/>
  <c r="AM99"/>
  <c r="V99"/>
  <c r="K99"/>
  <c r="J99"/>
  <c r="BA98"/>
  <c r="AQ98"/>
  <c r="BB98" s="1"/>
  <c r="AP98"/>
  <c r="AN98"/>
  <c r="AM98"/>
  <c r="V98"/>
  <c r="K98"/>
  <c r="J98"/>
  <c r="AQ97"/>
  <c r="AP97"/>
  <c r="AN97"/>
  <c r="AM97"/>
  <c r="V97"/>
  <c r="K97"/>
  <c r="J97"/>
  <c r="AQ96"/>
  <c r="AP96"/>
  <c r="AN96"/>
  <c r="AM96"/>
  <c r="V96"/>
  <c r="K96"/>
  <c r="J96"/>
  <c r="AQ95"/>
  <c r="AP95"/>
  <c r="AN95"/>
  <c r="AM95"/>
  <c r="V95"/>
  <c r="K95"/>
  <c r="J95"/>
  <c r="BB94"/>
  <c r="BA94"/>
  <c r="AQ94"/>
  <c r="AP94"/>
  <c r="AN94"/>
  <c r="AM94"/>
  <c r="V94"/>
  <c r="K94"/>
  <c r="J94"/>
  <c r="AK93"/>
  <c r="AQ93" s="1"/>
  <c r="AJ93"/>
  <c r="AI93"/>
  <c r="AH93"/>
  <c r="AG93"/>
  <c r="AM93" s="1"/>
  <c r="AF93"/>
  <c r="AD93"/>
  <c r="AC93"/>
  <c r="Y93"/>
  <c r="X93"/>
  <c r="W93"/>
  <c r="U93"/>
  <c r="T93"/>
  <c r="S93"/>
  <c r="O93"/>
  <c r="V93" s="1"/>
  <c r="N93"/>
  <c r="M93"/>
  <c r="L93"/>
  <c r="K93"/>
  <c r="B93"/>
  <c r="AK92"/>
  <c r="AQ92" s="1"/>
  <c r="AJ92"/>
  <c r="AP92" s="1"/>
  <c r="AI92"/>
  <c r="AH92"/>
  <c r="AG92"/>
  <c r="AM92" s="1"/>
  <c r="AF92"/>
  <c r="AD92"/>
  <c r="AC92"/>
  <c r="Y92"/>
  <c r="X92"/>
  <c r="W92"/>
  <c r="U92"/>
  <c r="T92"/>
  <c r="S92"/>
  <c r="O92"/>
  <c r="N92"/>
  <c r="M92"/>
  <c r="V92" s="1"/>
  <c r="L92"/>
  <c r="K92"/>
  <c r="B92"/>
  <c r="AK91"/>
  <c r="AP91" s="1"/>
  <c r="AJ91"/>
  <c r="AI91"/>
  <c r="AH91"/>
  <c r="AG91"/>
  <c r="AM91" s="1"/>
  <c r="AF91"/>
  <c r="AD91"/>
  <c r="AC91"/>
  <c r="Y91"/>
  <c r="X91"/>
  <c r="W91"/>
  <c r="U91"/>
  <c r="T91"/>
  <c r="S91"/>
  <c r="O91"/>
  <c r="N91"/>
  <c r="M91"/>
  <c r="V91" s="1"/>
  <c r="L91"/>
  <c r="K91"/>
  <c r="B91"/>
  <c r="AN90"/>
  <c r="AK90"/>
  <c r="AQ90" s="1"/>
  <c r="AJ90"/>
  <c r="AP90" s="1"/>
  <c r="AI90"/>
  <c r="AH90"/>
  <c r="AG90"/>
  <c r="AF90"/>
  <c r="AM90" s="1"/>
  <c r="AD90"/>
  <c r="AC90"/>
  <c r="Y90"/>
  <c r="X90"/>
  <c r="W90"/>
  <c r="U90"/>
  <c r="T90"/>
  <c r="S90"/>
  <c r="O90"/>
  <c r="N90"/>
  <c r="M90"/>
  <c r="V90" s="1"/>
  <c r="L90"/>
  <c r="K90"/>
  <c r="B90"/>
  <c r="AN89"/>
  <c r="AK89"/>
  <c r="AQ89" s="1"/>
  <c r="BB89" s="1"/>
  <c r="AJ89"/>
  <c r="AP89" s="1"/>
  <c r="AI89"/>
  <c r="AH89"/>
  <c r="AG89"/>
  <c r="AF89"/>
  <c r="AM89" s="1"/>
  <c r="AD89"/>
  <c r="AC89"/>
  <c r="Y89"/>
  <c r="X89"/>
  <c r="W89"/>
  <c r="U89"/>
  <c r="T89"/>
  <c r="S89"/>
  <c r="O89"/>
  <c r="N89"/>
  <c r="M89"/>
  <c r="V89" s="1"/>
  <c r="L89"/>
  <c r="K89"/>
  <c r="B89"/>
  <c r="AN88"/>
  <c r="AM88"/>
  <c r="AK88"/>
  <c r="AP88" s="1"/>
  <c r="AJ88"/>
  <c r="AI88"/>
  <c r="AH88"/>
  <c r="AG88"/>
  <c r="AF88"/>
  <c r="AD88"/>
  <c r="AC88"/>
  <c r="Y88"/>
  <c r="X88"/>
  <c r="W88"/>
  <c r="U88"/>
  <c r="T88"/>
  <c r="S88"/>
  <c r="O88"/>
  <c r="V88" s="1"/>
  <c r="N88"/>
  <c r="M88"/>
  <c r="L88"/>
  <c r="K88"/>
  <c r="B88"/>
  <c r="AN87"/>
  <c r="AM87"/>
  <c r="AK87"/>
  <c r="AP87" s="1"/>
  <c r="BA87" s="1"/>
  <c r="AJ87"/>
  <c r="AI87"/>
  <c r="AH87"/>
  <c r="AG87"/>
  <c r="AF87"/>
  <c r="AD87"/>
  <c r="AC87"/>
  <c r="Y87"/>
  <c r="X87"/>
  <c r="W87"/>
  <c r="U87"/>
  <c r="T87"/>
  <c r="S87"/>
  <c r="O87"/>
  <c r="V87" s="1"/>
  <c r="N87"/>
  <c r="M87"/>
  <c r="L87"/>
  <c r="K87"/>
  <c r="B87"/>
  <c r="AQ86"/>
  <c r="AP86"/>
  <c r="AN86"/>
  <c r="AM86"/>
  <c r="V86"/>
  <c r="K86"/>
  <c r="J86"/>
  <c r="AQ85"/>
  <c r="AP85"/>
  <c r="AN85"/>
  <c r="AM85"/>
  <c r="V85"/>
  <c r="K85"/>
  <c r="J85"/>
  <c r="AQ84"/>
  <c r="BB84" s="1"/>
  <c r="AP84"/>
  <c r="BA84" s="1"/>
  <c r="AN84"/>
  <c r="AM84"/>
  <c r="V84"/>
  <c r="K84"/>
  <c r="J84"/>
  <c r="AQ83"/>
  <c r="AP83"/>
  <c r="AN83"/>
  <c r="AM83"/>
  <c r="V83"/>
  <c r="K83"/>
  <c r="J83"/>
  <c r="AQ82"/>
  <c r="AP82"/>
  <c r="AN82"/>
  <c r="AM82"/>
  <c r="V82"/>
  <c r="K82"/>
  <c r="J82"/>
  <c r="AQ81"/>
  <c r="AP81"/>
  <c r="AN81"/>
  <c r="AM81"/>
  <c r="V81"/>
  <c r="K81"/>
  <c r="J81"/>
  <c r="BA80"/>
  <c r="AQ80"/>
  <c r="BB80" s="1"/>
  <c r="AP80"/>
  <c r="AN80"/>
  <c r="AM80"/>
  <c r="V80"/>
  <c r="K80"/>
  <c r="J80"/>
  <c r="AK79"/>
  <c r="AP79" s="1"/>
  <c r="AJ79"/>
  <c r="AI79"/>
  <c r="AH79"/>
  <c r="AG79"/>
  <c r="AM79" s="1"/>
  <c r="AF79"/>
  <c r="AD79"/>
  <c r="AC79"/>
  <c r="Y79"/>
  <c r="X79"/>
  <c r="W79"/>
  <c r="U79"/>
  <c r="T79"/>
  <c r="S79"/>
  <c r="O79"/>
  <c r="N79"/>
  <c r="M79"/>
  <c r="V79" s="1"/>
  <c r="L79"/>
  <c r="K79"/>
  <c r="B79"/>
  <c r="AN78"/>
  <c r="AK78"/>
  <c r="AQ78" s="1"/>
  <c r="AJ78"/>
  <c r="AP78" s="1"/>
  <c r="AI78"/>
  <c r="AH78"/>
  <c r="AG78"/>
  <c r="AF78"/>
  <c r="AM78" s="1"/>
  <c r="AD78"/>
  <c r="AC78"/>
  <c r="Y78"/>
  <c r="X78"/>
  <c r="W78"/>
  <c r="U78"/>
  <c r="T78"/>
  <c r="S78"/>
  <c r="O78"/>
  <c r="N78"/>
  <c r="M78"/>
  <c r="V78" s="1"/>
  <c r="L78"/>
  <c r="K78"/>
  <c r="B78"/>
  <c r="AN77"/>
  <c r="AK77"/>
  <c r="AQ77" s="1"/>
  <c r="AJ77"/>
  <c r="AP77" s="1"/>
  <c r="AI77"/>
  <c r="AH77"/>
  <c r="AG77"/>
  <c r="AF77"/>
  <c r="AM77" s="1"/>
  <c r="AD77"/>
  <c r="AC77"/>
  <c r="Y77"/>
  <c r="X77"/>
  <c r="W77"/>
  <c r="U77"/>
  <c r="T77"/>
  <c r="S77"/>
  <c r="O77"/>
  <c r="N77"/>
  <c r="M77"/>
  <c r="V77" s="1"/>
  <c r="L77"/>
  <c r="K77"/>
  <c r="B77"/>
  <c r="AN76"/>
  <c r="AM76"/>
  <c r="AK76"/>
  <c r="AP76" s="1"/>
  <c r="AJ76"/>
  <c r="AI76"/>
  <c r="AH76"/>
  <c r="AG76"/>
  <c r="AF76"/>
  <c r="AD76"/>
  <c r="AC76"/>
  <c r="Y76"/>
  <c r="X76"/>
  <c r="W76"/>
  <c r="U76"/>
  <c r="T76"/>
  <c r="S76"/>
  <c r="O76"/>
  <c r="V76" s="1"/>
  <c r="N76"/>
  <c r="M76"/>
  <c r="L76"/>
  <c r="K76"/>
  <c r="B76"/>
  <c r="AK75"/>
  <c r="AQ75" s="1"/>
  <c r="AJ75"/>
  <c r="AI75"/>
  <c r="AH75"/>
  <c r="AG75"/>
  <c r="AM75" s="1"/>
  <c r="AF75"/>
  <c r="AD75"/>
  <c r="AC75"/>
  <c r="Y75"/>
  <c r="X75"/>
  <c r="W75"/>
  <c r="U75"/>
  <c r="T75"/>
  <c r="S75"/>
  <c r="O75"/>
  <c r="V75" s="1"/>
  <c r="N75"/>
  <c r="M75"/>
  <c r="L75"/>
  <c r="K75"/>
  <c r="B75"/>
  <c r="AK74"/>
  <c r="AQ74" s="1"/>
  <c r="AJ74"/>
  <c r="AI74"/>
  <c r="AH74"/>
  <c r="AG74"/>
  <c r="AM74" s="1"/>
  <c r="AF74"/>
  <c r="AD74"/>
  <c r="AC74"/>
  <c r="Y74"/>
  <c r="X74"/>
  <c r="W74"/>
  <c r="U74"/>
  <c r="T74"/>
  <c r="S74"/>
  <c r="O74"/>
  <c r="V74" s="1"/>
  <c r="N74"/>
  <c r="M74"/>
  <c r="L74"/>
  <c r="K74"/>
  <c r="B74"/>
  <c r="AK73"/>
  <c r="AQ73" s="1"/>
  <c r="BB73" s="1"/>
  <c r="AJ73"/>
  <c r="AI73"/>
  <c r="AH73"/>
  <c r="AG73"/>
  <c r="AM73" s="1"/>
  <c r="AF73"/>
  <c r="AD73"/>
  <c r="AC73"/>
  <c r="Y73"/>
  <c r="X73"/>
  <c r="W73"/>
  <c r="U73"/>
  <c r="T73"/>
  <c r="S73"/>
  <c r="O73"/>
  <c r="V73" s="1"/>
  <c r="N73"/>
  <c r="M73"/>
  <c r="L73"/>
  <c r="K73"/>
  <c r="B73"/>
  <c r="AQ72"/>
  <c r="AN72"/>
  <c r="AJ72"/>
  <c r="AP72" s="1"/>
  <c r="AI72"/>
  <c r="AH72"/>
  <c r="AG72"/>
  <c r="AM72" s="1"/>
  <c r="AD72"/>
  <c r="AC72"/>
  <c r="Y72"/>
  <c r="X72"/>
  <c r="W72"/>
  <c r="U72"/>
  <c r="T72"/>
  <c r="S72"/>
  <c r="O72"/>
  <c r="V72" s="1"/>
  <c r="N72"/>
  <c r="M72"/>
  <c r="L72"/>
  <c r="K72"/>
  <c r="B72"/>
  <c r="AK71"/>
  <c r="AP71" s="1"/>
  <c r="AJ71"/>
  <c r="AI71"/>
  <c r="AH71"/>
  <c r="AG71"/>
  <c r="AM71" s="1"/>
  <c r="AF71"/>
  <c r="AD71"/>
  <c r="AC71"/>
  <c r="Y71"/>
  <c r="X71"/>
  <c r="W71"/>
  <c r="U71"/>
  <c r="T71"/>
  <c r="S71"/>
  <c r="O71"/>
  <c r="N71"/>
  <c r="M71"/>
  <c r="V71" s="1"/>
  <c r="L71"/>
  <c r="K71"/>
  <c r="B71"/>
  <c r="AK70"/>
  <c r="AP70" s="1"/>
  <c r="BA70" s="1"/>
  <c r="AJ70"/>
  <c r="AI70"/>
  <c r="AH70"/>
  <c r="AG70"/>
  <c r="AM70" s="1"/>
  <c r="AF70"/>
  <c r="AD70"/>
  <c r="AC70"/>
  <c r="Y70"/>
  <c r="X70"/>
  <c r="W70"/>
  <c r="U70"/>
  <c r="T70"/>
  <c r="S70"/>
  <c r="O70"/>
  <c r="N70"/>
  <c r="M70"/>
  <c r="V70" s="1"/>
  <c r="L70"/>
  <c r="K70"/>
  <c r="B70"/>
  <c r="AQ69"/>
  <c r="AP69"/>
  <c r="AN69"/>
  <c r="AM69"/>
  <c r="V69"/>
  <c r="K69"/>
  <c r="J69"/>
  <c r="AQ68"/>
  <c r="AP68"/>
  <c r="AN68"/>
  <c r="AM68"/>
  <c r="V68"/>
  <c r="K68"/>
  <c r="J68"/>
  <c r="AQ67"/>
  <c r="AP67"/>
  <c r="AN67"/>
  <c r="AM67"/>
  <c r="V67"/>
  <c r="K67"/>
  <c r="J67"/>
  <c r="BA66"/>
  <c r="AQ66"/>
  <c r="BB66" s="1"/>
  <c r="AP66"/>
  <c r="AN66"/>
  <c r="AM66"/>
  <c r="V66"/>
  <c r="K66"/>
  <c r="J66"/>
  <c r="AK65"/>
  <c r="AP65" s="1"/>
  <c r="AJ65"/>
  <c r="AI65"/>
  <c r="AH65"/>
  <c r="AG65"/>
  <c r="AM65" s="1"/>
  <c r="AF65"/>
  <c r="AD65"/>
  <c r="AC65"/>
  <c r="Y65"/>
  <c r="X65"/>
  <c r="W65"/>
  <c r="U65"/>
  <c r="T65"/>
  <c r="S65"/>
  <c r="O65"/>
  <c r="N65"/>
  <c r="M65"/>
  <c r="V65" s="1"/>
  <c r="L65"/>
  <c r="K65"/>
  <c r="B65"/>
  <c r="AK64"/>
  <c r="AP64" s="1"/>
  <c r="BA64" s="1"/>
  <c r="AJ64"/>
  <c r="AI64"/>
  <c r="AH64"/>
  <c r="AG64"/>
  <c r="AM64" s="1"/>
  <c r="AF64"/>
  <c r="AD64"/>
  <c r="AC64"/>
  <c r="Y64"/>
  <c r="X64"/>
  <c r="W64"/>
  <c r="U64"/>
  <c r="T64"/>
  <c r="S64"/>
  <c r="O64"/>
  <c r="N64"/>
  <c r="M64"/>
  <c r="V64" s="1"/>
  <c r="L64"/>
  <c r="K64"/>
  <c r="B64"/>
  <c r="AN63"/>
  <c r="AK63"/>
  <c r="AQ63" s="1"/>
  <c r="AJ63"/>
  <c r="AP63" s="1"/>
  <c r="AI63"/>
  <c r="AH63"/>
  <c r="AG63"/>
  <c r="AF63"/>
  <c r="AM63" s="1"/>
  <c r="AD63"/>
  <c r="AC63"/>
  <c r="Y63"/>
  <c r="X63"/>
  <c r="W63"/>
  <c r="U63"/>
  <c r="T63"/>
  <c r="S63"/>
  <c r="O63"/>
  <c r="N63"/>
  <c r="M63"/>
  <c r="V63" s="1"/>
  <c r="L63"/>
  <c r="K63"/>
  <c r="B63"/>
  <c r="AN62"/>
  <c r="AK62"/>
  <c r="AQ62" s="1"/>
  <c r="BB62" s="1"/>
  <c r="AJ62"/>
  <c r="AP62" s="1"/>
  <c r="AI62"/>
  <c r="AH62"/>
  <c r="AG62"/>
  <c r="AF62"/>
  <c r="AM62" s="1"/>
  <c r="AD62"/>
  <c r="AC62"/>
  <c r="Y62"/>
  <c r="X62"/>
  <c r="W62"/>
  <c r="U62"/>
  <c r="T62"/>
  <c r="S62"/>
  <c r="O62"/>
  <c r="N62"/>
  <c r="M62"/>
  <c r="V62" s="1"/>
  <c r="L62"/>
  <c r="K62"/>
  <c r="B62"/>
  <c r="AN61"/>
  <c r="AM61"/>
  <c r="AK61"/>
  <c r="AP61" s="1"/>
  <c r="AJ61"/>
  <c r="AI61"/>
  <c r="AH61"/>
  <c r="AG61"/>
  <c r="AF61"/>
  <c r="AD61"/>
  <c r="AC61"/>
  <c r="Y61"/>
  <c r="X61"/>
  <c r="W61"/>
  <c r="U61"/>
  <c r="T61"/>
  <c r="S61"/>
  <c r="O61"/>
  <c r="V61" s="1"/>
  <c r="N61"/>
  <c r="M61"/>
  <c r="L61"/>
  <c r="K61"/>
  <c r="B61"/>
  <c r="AN60"/>
  <c r="AM60"/>
  <c r="AK60"/>
  <c r="AP60" s="1"/>
  <c r="BA60" s="1"/>
  <c r="AJ60"/>
  <c r="AI60"/>
  <c r="AH60"/>
  <c r="AG60"/>
  <c r="AF60"/>
  <c r="AD60"/>
  <c r="AC60"/>
  <c r="Y60"/>
  <c r="X60"/>
  <c r="W60"/>
  <c r="U60"/>
  <c r="T60"/>
  <c r="S60"/>
  <c r="O60"/>
  <c r="V60" s="1"/>
  <c r="N60"/>
  <c r="M60"/>
  <c r="L60"/>
  <c r="K60"/>
  <c r="B60"/>
  <c r="AQ59"/>
  <c r="AP59"/>
  <c r="AN59"/>
  <c r="AM59"/>
  <c r="V59"/>
  <c r="K59"/>
  <c r="J59"/>
  <c r="BA58"/>
  <c r="AQ58"/>
  <c r="BB58" s="1"/>
  <c r="AP58"/>
  <c r="AN58"/>
  <c r="AM58"/>
  <c r="V58"/>
  <c r="K58"/>
  <c r="J58"/>
  <c r="AK57"/>
  <c r="AP57" s="1"/>
  <c r="AJ57"/>
  <c r="AI57"/>
  <c r="AH57"/>
  <c r="AG57"/>
  <c r="AM57" s="1"/>
  <c r="AF57"/>
  <c r="AD57"/>
  <c r="AC57"/>
  <c r="Y57"/>
  <c r="X57"/>
  <c r="W57"/>
  <c r="U57"/>
  <c r="T57"/>
  <c r="S57"/>
  <c r="O57"/>
  <c r="N57"/>
  <c r="M57"/>
  <c r="V57" s="1"/>
  <c r="L57"/>
  <c r="K57"/>
  <c r="B57"/>
  <c r="AN56"/>
  <c r="AK56"/>
  <c r="AQ56" s="1"/>
  <c r="AJ56"/>
  <c r="AP56" s="1"/>
  <c r="AI56"/>
  <c r="AH56"/>
  <c r="AG56"/>
  <c r="AF56"/>
  <c r="AM56" s="1"/>
  <c r="AD56"/>
  <c r="AC56"/>
  <c r="Y56"/>
  <c r="X56"/>
  <c r="W56"/>
  <c r="U56"/>
  <c r="T56"/>
  <c r="S56"/>
  <c r="O56"/>
  <c r="N56"/>
  <c r="M56"/>
  <c r="V56" s="1"/>
  <c r="L56"/>
  <c r="K56"/>
  <c r="B56"/>
  <c r="AN55"/>
  <c r="AK55"/>
  <c r="AQ55" s="1"/>
  <c r="AJ55"/>
  <c r="AP55" s="1"/>
  <c r="AI55"/>
  <c r="AH55"/>
  <c r="AG55"/>
  <c r="AF55"/>
  <c r="AM55" s="1"/>
  <c r="AD55"/>
  <c r="AC55"/>
  <c r="Y55"/>
  <c r="X55"/>
  <c r="W55"/>
  <c r="U55"/>
  <c r="T55"/>
  <c r="S55"/>
  <c r="O55"/>
  <c r="N55"/>
  <c r="M55"/>
  <c r="V55" s="1"/>
  <c r="L55"/>
  <c r="K55"/>
  <c r="B55"/>
  <c r="AN54"/>
  <c r="AM54"/>
  <c r="AK54"/>
  <c r="AP54" s="1"/>
  <c r="AJ54"/>
  <c r="AI54"/>
  <c r="AH54"/>
  <c r="AG54"/>
  <c r="AF54"/>
  <c r="AD54"/>
  <c r="AC54"/>
  <c r="Y54"/>
  <c r="X54"/>
  <c r="W54"/>
  <c r="U54"/>
  <c r="T54"/>
  <c r="S54"/>
  <c r="O54"/>
  <c r="V54" s="1"/>
  <c r="N54"/>
  <c r="M54"/>
  <c r="L54"/>
  <c r="K54"/>
  <c r="B54"/>
  <c r="AK53"/>
  <c r="AQ53" s="1"/>
  <c r="AJ53"/>
  <c r="AI53"/>
  <c r="AH53"/>
  <c r="AG53"/>
  <c r="AM53" s="1"/>
  <c r="AF53"/>
  <c r="AD53"/>
  <c r="AC53"/>
  <c r="Y53"/>
  <c r="X53"/>
  <c r="W53"/>
  <c r="U53"/>
  <c r="T53"/>
  <c r="S53"/>
  <c r="O53"/>
  <c r="V53" s="1"/>
  <c r="N53"/>
  <c r="M53"/>
  <c r="L53"/>
  <c r="K53"/>
  <c r="B53"/>
  <c r="AK52"/>
  <c r="AQ52" s="1"/>
  <c r="AJ52"/>
  <c r="AI52"/>
  <c r="AH52"/>
  <c r="AG52"/>
  <c r="AM52" s="1"/>
  <c r="AF52"/>
  <c r="AD52"/>
  <c r="AC52"/>
  <c r="Y52"/>
  <c r="X52"/>
  <c r="W52"/>
  <c r="U52"/>
  <c r="T52"/>
  <c r="S52"/>
  <c r="O52"/>
  <c r="V52" s="1"/>
  <c r="N52"/>
  <c r="M52"/>
  <c r="L52"/>
  <c r="K52"/>
  <c r="B52"/>
  <c r="AK51"/>
  <c r="AP51" s="1"/>
  <c r="AJ51"/>
  <c r="AI51"/>
  <c r="AH51"/>
  <c r="AG51"/>
  <c r="AM51" s="1"/>
  <c r="AF51"/>
  <c r="AD51"/>
  <c r="AC51"/>
  <c r="Y51"/>
  <c r="X51"/>
  <c r="W51"/>
  <c r="U51"/>
  <c r="T51"/>
  <c r="S51"/>
  <c r="O51"/>
  <c r="N51"/>
  <c r="M51"/>
  <c r="V51" s="1"/>
  <c r="L51"/>
  <c r="K51"/>
  <c r="B51"/>
  <c r="AN50"/>
  <c r="AK50"/>
  <c r="AQ50" s="1"/>
  <c r="AJ50"/>
  <c r="AP50" s="1"/>
  <c r="AI50"/>
  <c r="AH50"/>
  <c r="AG50"/>
  <c r="AF50"/>
  <c r="AM50" s="1"/>
  <c r="AD50"/>
  <c r="AC50"/>
  <c r="Y50"/>
  <c r="X50"/>
  <c r="W50"/>
  <c r="U50"/>
  <c r="T50"/>
  <c r="S50"/>
  <c r="O50"/>
  <c r="N50"/>
  <c r="M50"/>
  <c r="V50" s="1"/>
  <c r="L50"/>
  <c r="K50"/>
  <c r="B50"/>
  <c r="AN49"/>
  <c r="AK49"/>
  <c r="AQ49" s="1"/>
  <c r="AJ49"/>
  <c r="AP49" s="1"/>
  <c r="BA49" s="1"/>
  <c r="AI49"/>
  <c r="AH49"/>
  <c r="AG49"/>
  <c r="AF49"/>
  <c r="AM49" s="1"/>
  <c r="AD49"/>
  <c r="AC49"/>
  <c r="Y49"/>
  <c r="X49"/>
  <c r="W49"/>
  <c r="U49"/>
  <c r="T49"/>
  <c r="S49"/>
  <c r="O49"/>
  <c r="N49"/>
  <c r="M49"/>
  <c r="V49" s="1"/>
  <c r="L49"/>
  <c r="K49"/>
  <c r="B49"/>
  <c r="AQ48"/>
  <c r="AP48"/>
  <c r="AN48"/>
  <c r="AM48"/>
  <c r="V48"/>
  <c r="K48"/>
  <c r="J48"/>
  <c r="AQ47"/>
  <c r="AP47"/>
  <c r="AN47"/>
  <c r="AM47"/>
  <c r="V47"/>
  <c r="K47"/>
  <c r="J47"/>
  <c r="BA46"/>
  <c r="AQ46"/>
  <c r="BB46" s="1"/>
  <c r="AP46"/>
  <c r="AN46"/>
  <c r="AM46"/>
  <c r="V46"/>
  <c r="K46"/>
  <c r="J46"/>
  <c r="AQ45"/>
  <c r="AP45"/>
  <c r="AN45"/>
  <c r="AM45"/>
  <c r="V45"/>
  <c r="K45"/>
  <c r="J45"/>
  <c r="AQ44"/>
  <c r="AP44"/>
  <c r="AN44"/>
  <c r="AM44"/>
  <c r="V44"/>
  <c r="K44"/>
  <c r="J44"/>
  <c r="AQ43"/>
  <c r="AP43"/>
  <c r="AN43"/>
  <c r="AM43"/>
  <c r="V43"/>
  <c r="K43"/>
  <c r="J43"/>
  <c r="AQ42"/>
  <c r="AP42"/>
  <c r="AN42"/>
  <c r="AM42"/>
  <c r="V42"/>
  <c r="K42"/>
  <c r="J42"/>
  <c r="AQ41"/>
  <c r="AP41"/>
  <c r="AN41"/>
  <c r="AM41"/>
  <c r="V41"/>
  <c r="K41"/>
  <c r="J41"/>
  <c r="AQ40"/>
  <c r="AP40"/>
  <c r="AN40"/>
  <c r="AM40"/>
  <c r="V40"/>
  <c r="K40"/>
  <c r="J40"/>
  <c r="AQ39"/>
  <c r="AP39"/>
  <c r="AN39"/>
  <c r="AM39"/>
  <c r="V39"/>
  <c r="K39"/>
  <c r="J39"/>
  <c r="BA38"/>
  <c r="AQ38"/>
  <c r="BB38" s="1"/>
  <c r="AP38"/>
  <c r="AN38"/>
  <c r="AM38"/>
  <c r="V38"/>
  <c r="K38"/>
  <c r="J38"/>
  <c r="AQ37"/>
  <c r="AP37"/>
  <c r="AN37"/>
  <c r="AM37"/>
  <c r="V37"/>
  <c r="K37"/>
  <c r="J37"/>
  <c r="AQ36"/>
  <c r="AP36"/>
  <c r="AN36"/>
  <c r="AM36"/>
  <c r="V36"/>
  <c r="K36"/>
  <c r="J36"/>
  <c r="BB35"/>
  <c r="AQ35"/>
  <c r="AP35"/>
  <c r="BA35" s="1"/>
  <c r="AN35"/>
  <c r="AM35"/>
  <c r="V35"/>
  <c r="K35"/>
  <c r="J35"/>
  <c r="AN34"/>
  <c r="AM34"/>
  <c r="AK34"/>
  <c r="AP34" s="1"/>
  <c r="AJ34"/>
  <c r="AI34"/>
  <c r="AH34"/>
  <c r="AG34"/>
  <c r="AF34"/>
  <c r="AD34"/>
  <c r="AC34"/>
  <c r="Y34"/>
  <c r="X34"/>
  <c r="W34"/>
  <c r="U34"/>
  <c r="T34"/>
  <c r="S34"/>
  <c r="O34"/>
  <c r="V34" s="1"/>
  <c r="N34"/>
  <c r="M34"/>
  <c r="L34"/>
  <c r="K34"/>
  <c r="B34"/>
  <c r="AN33"/>
  <c r="AM33"/>
  <c r="AK33"/>
  <c r="AP33" s="1"/>
  <c r="AJ33"/>
  <c r="AI33"/>
  <c r="AH33"/>
  <c r="AG33"/>
  <c r="AF33"/>
  <c r="AD33"/>
  <c r="AC33"/>
  <c r="Y33"/>
  <c r="X33"/>
  <c r="W33"/>
  <c r="U33"/>
  <c r="T33"/>
  <c r="S33"/>
  <c r="O33"/>
  <c r="V33" s="1"/>
  <c r="N33"/>
  <c r="M33"/>
  <c r="L33"/>
  <c r="K33"/>
  <c r="B33"/>
  <c r="AQ32"/>
  <c r="AP32"/>
  <c r="AN32"/>
  <c r="AM32"/>
  <c r="V32"/>
  <c r="K32"/>
  <c r="J32"/>
  <c r="AQ31"/>
  <c r="AP31"/>
  <c r="AN31"/>
  <c r="AM31"/>
  <c r="V31"/>
  <c r="K31"/>
  <c r="J31"/>
  <c r="AQ30"/>
  <c r="BB30" s="1"/>
  <c r="AP30"/>
  <c r="BA30" s="1"/>
  <c r="AN30"/>
  <c r="AM30"/>
  <c r="V30"/>
  <c r="K30"/>
  <c r="J30"/>
  <c r="AN29"/>
  <c r="AK29"/>
  <c r="AQ29" s="1"/>
  <c r="AJ29"/>
  <c r="AP29" s="1"/>
  <c r="AI29"/>
  <c r="AH29"/>
  <c r="AG29"/>
  <c r="AF29"/>
  <c r="AM29" s="1"/>
  <c r="AD29"/>
  <c r="AC29"/>
  <c r="Y29"/>
  <c r="X29"/>
  <c r="W29"/>
  <c r="U29"/>
  <c r="T29"/>
  <c r="S29"/>
  <c r="O29"/>
  <c r="N29"/>
  <c r="M29"/>
  <c r="V29" s="1"/>
  <c r="L29"/>
  <c r="K29"/>
  <c r="B29"/>
  <c r="AN28"/>
  <c r="AM28"/>
  <c r="AK28"/>
  <c r="AP28" s="1"/>
  <c r="AJ28"/>
  <c r="AI28"/>
  <c r="AH28"/>
  <c r="AG28"/>
  <c r="AF28"/>
  <c r="AD28"/>
  <c r="AC28"/>
  <c r="Y28"/>
  <c r="X28"/>
  <c r="W28"/>
  <c r="U28"/>
  <c r="T28"/>
  <c r="S28"/>
  <c r="O28"/>
  <c r="V28" s="1"/>
  <c r="N28"/>
  <c r="M28"/>
  <c r="L28"/>
  <c r="K28"/>
  <c r="B28"/>
  <c r="AN27"/>
  <c r="AM27"/>
  <c r="AK27"/>
  <c r="AP27" s="1"/>
  <c r="BA27" s="1"/>
  <c r="AJ27"/>
  <c r="AI27"/>
  <c r="AH27"/>
  <c r="AG27"/>
  <c r="AF27"/>
  <c r="AD27"/>
  <c r="AC27"/>
  <c r="Y27"/>
  <c r="X27"/>
  <c r="W27"/>
  <c r="V27"/>
  <c r="U27"/>
  <c r="T27"/>
  <c r="S27"/>
  <c r="O27"/>
  <c r="N27"/>
  <c r="M27"/>
  <c r="L27"/>
  <c r="K27"/>
  <c r="B27"/>
  <c r="AM26"/>
  <c r="AK26"/>
  <c r="AP26" s="1"/>
  <c r="AJ26"/>
  <c r="AI26"/>
  <c r="AH26"/>
  <c r="AG26"/>
  <c r="AN26" s="1"/>
  <c r="AF26"/>
  <c r="AD26"/>
  <c r="AC26"/>
  <c r="Y26"/>
  <c r="X26"/>
  <c r="W26"/>
  <c r="U26"/>
  <c r="T26"/>
  <c r="S26"/>
  <c r="O26"/>
  <c r="V26" s="1"/>
  <c r="N26"/>
  <c r="M26"/>
  <c r="L26"/>
  <c r="K26"/>
  <c r="B26"/>
  <c r="AK25"/>
  <c r="AQ25" s="1"/>
  <c r="AJ25"/>
  <c r="AI25"/>
  <c r="AH25"/>
  <c r="AG25"/>
  <c r="AM25" s="1"/>
  <c r="AF25"/>
  <c r="AD25"/>
  <c r="AC25"/>
  <c r="Y25"/>
  <c r="X25"/>
  <c r="W25"/>
  <c r="U25"/>
  <c r="T25"/>
  <c r="S25"/>
  <c r="O25"/>
  <c r="N25"/>
  <c r="M25"/>
  <c r="V25" s="1"/>
  <c r="L25"/>
  <c r="K25"/>
  <c r="B25"/>
  <c r="AK24"/>
  <c r="AQ24" s="1"/>
  <c r="AJ24"/>
  <c r="AI24"/>
  <c r="AH24"/>
  <c r="AG24"/>
  <c r="AM24" s="1"/>
  <c r="AF24"/>
  <c r="AD24"/>
  <c r="AC24"/>
  <c r="Y24"/>
  <c r="X24"/>
  <c r="W24"/>
  <c r="U24"/>
  <c r="T24"/>
  <c r="S24"/>
  <c r="O24"/>
  <c r="N24"/>
  <c r="M24"/>
  <c r="V24" s="1"/>
  <c r="L24"/>
  <c r="K24"/>
  <c r="B24"/>
  <c r="AN23"/>
  <c r="AK23"/>
  <c r="AQ23" s="1"/>
  <c r="AJ23"/>
  <c r="AP23" s="1"/>
  <c r="AI23"/>
  <c r="AH23"/>
  <c r="AG23"/>
  <c r="AF23"/>
  <c r="AM23" s="1"/>
  <c r="AD23"/>
  <c r="AC23"/>
  <c r="Y23"/>
  <c r="X23"/>
  <c r="W23"/>
  <c r="U23"/>
  <c r="T23"/>
  <c r="S23"/>
  <c r="O23"/>
  <c r="N23"/>
  <c r="M23"/>
  <c r="V23" s="1"/>
  <c r="L23"/>
  <c r="K23"/>
  <c r="B23"/>
  <c r="AN22"/>
  <c r="AM22"/>
  <c r="AK22"/>
  <c r="AP22" s="1"/>
  <c r="AJ22"/>
  <c r="AI22"/>
  <c r="AH22"/>
  <c r="AG22"/>
  <c r="AF22"/>
  <c r="AD22"/>
  <c r="AC22"/>
  <c r="Y22"/>
  <c r="X22"/>
  <c r="W22"/>
  <c r="U22"/>
  <c r="T22"/>
  <c r="S22"/>
  <c r="O22"/>
  <c r="V22" s="1"/>
  <c r="N22"/>
  <c r="M22"/>
  <c r="L22"/>
  <c r="K22"/>
  <c r="B22"/>
  <c r="AN21"/>
  <c r="AM21"/>
  <c r="AK21"/>
  <c r="AP21" s="1"/>
  <c r="AJ21"/>
  <c r="AI21"/>
  <c r="AH21"/>
  <c r="AG21"/>
  <c r="AF21"/>
  <c r="AD21"/>
  <c r="AC21"/>
  <c r="Y21"/>
  <c r="X21"/>
  <c r="W21"/>
  <c r="V21"/>
  <c r="U21"/>
  <c r="T21"/>
  <c r="S21"/>
  <c r="O21"/>
  <c r="N21"/>
  <c r="M21"/>
  <c r="L21"/>
  <c r="K21"/>
  <c r="B21"/>
  <c r="AM20"/>
  <c r="AK20"/>
  <c r="AQ20" s="1"/>
  <c r="AJ20"/>
  <c r="AI20"/>
  <c r="AH20"/>
  <c r="AG20"/>
  <c r="AN20" s="1"/>
  <c r="AF20"/>
  <c r="AD20"/>
  <c r="AC20"/>
  <c r="Y20"/>
  <c r="X20"/>
  <c r="W20"/>
  <c r="U20"/>
  <c r="T20"/>
  <c r="S20"/>
  <c r="O20"/>
  <c r="V20" s="1"/>
  <c r="N20"/>
  <c r="M20"/>
  <c r="L20"/>
  <c r="K20"/>
  <c r="B20"/>
  <c r="AQ19"/>
  <c r="AM19"/>
  <c r="AK19"/>
  <c r="AP19" s="1"/>
  <c r="AJ19"/>
  <c r="AI19"/>
  <c r="AH19"/>
  <c r="AG19"/>
  <c r="AN19" s="1"/>
  <c r="AF19"/>
  <c r="AD19"/>
  <c r="AC19"/>
  <c r="Y19"/>
  <c r="X19"/>
  <c r="W19"/>
  <c r="U19"/>
  <c r="T19"/>
  <c r="S19"/>
  <c r="O19"/>
  <c r="V19" s="1"/>
  <c r="N19"/>
  <c r="M19"/>
  <c r="L19"/>
  <c r="K19"/>
  <c r="B19"/>
  <c r="AK18"/>
  <c r="AQ18" s="1"/>
  <c r="AJ18"/>
  <c r="AI18"/>
  <c r="AH18"/>
  <c r="AG18"/>
  <c r="AM18" s="1"/>
  <c r="AF18"/>
  <c r="AD18"/>
  <c r="AC18"/>
  <c r="Y18"/>
  <c r="X18"/>
  <c r="W18"/>
  <c r="U18"/>
  <c r="T18"/>
  <c r="S18"/>
  <c r="O18"/>
  <c r="N18"/>
  <c r="M18"/>
  <c r="V18" s="1"/>
  <c r="L18"/>
  <c r="K18"/>
  <c r="B18"/>
  <c r="AK17"/>
  <c r="AQ17" s="1"/>
  <c r="BB17" s="1"/>
  <c r="AJ17"/>
  <c r="AI17"/>
  <c r="AH17"/>
  <c r="AG17"/>
  <c r="AM17" s="1"/>
  <c r="AF17"/>
  <c r="AD17"/>
  <c r="AC17"/>
  <c r="Y17"/>
  <c r="X17"/>
  <c r="W17"/>
  <c r="U17"/>
  <c r="T17"/>
  <c r="S17"/>
  <c r="O17"/>
  <c r="N17"/>
  <c r="M17"/>
  <c r="V17" s="1"/>
  <c r="L17"/>
  <c r="K17"/>
  <c r="B17"/>
  <c r="AQ16"/>
  <c r="AP16"/>
  <c r="AN16"/>
  <c r="AM16"/>
  <c r="V16"/>
  <c r="K16"/>
  <c r="J16"/>
  <c r="AQ15"/>
  <c r="AP15"/>
  <c r="AN15"/>
  <c r="AM15"/>
  <c r="V15"/>
  <c r="K15"/>
  <c r="J15"/>
  <c r="AQ14"/>
  <c r="AP14"/>
  <c r="AN14"/>
  <c r="AM14"/>
  <c r="V14"/>
  <c r="K14"/>
  <c r="J14"/>
  <c r="BA13"/>
  <c r="AQ13"/>
  <c r="BB13" s="1"/>
  <c r="AP13"/>
  <c r="AN13"/>
  <c r="AM13"/>
  <c r="V13"/>
  <c r="K13"/>
  <c r="J13"/>
  <c r="AK12"/>
  <c r="AQ12" s="1"/>
  <c r="AJ12"/>
  <c r="AP12" s="1"/>
  <c r="AI12"/>
  <c r="AH12"/>
  <c r="AG12"/>
  <c r="AN12" s="1"/>
  <c r="AF12"/>
  <c r="AM12" s="1"/>
  <c r="AD12"/>
  <c r="AC12"/>
  <c r="Y12"/>
  <c r="X12"/>
  <c r="W12"/>
  <c r="U12"/>
  <c r="T12"/>
  <c r="S12"/>
  <c r="O12"/>
  <c r="N12"/>
  <c r="M12"/>
  <c r="V12" s="1"/>
  <c r="L12"/>
  <c r="K12"/>
  <c r="B12"/>
  <c r="AK11"/>
  <c r="AQ11" s="1"/>
  <c r="AJ11"/>
  <c r="AP11" s="1"/>
  <c r="AI11"/>
  <c r="AH11"/>
  <c r="AG11"/>
  <c r="AN11" s="1"/>
  <c r="AF11"/>
  <c r="AM11" s="1"/>
  <c r="AD11"/>
  <c r="AC11"/>
  <c r="Y11"/>
  <c r="X11"/>
  <c r="W11"/>
  <c r="U11"/>
  <c r="T11"/>
  <c r="S11"/>
  <c r="O11"/>
  <c r="N11"/>
  <c r="M11"/>
  <c r="V11" s="1"/>
  <c r="L11"/>
  <c r="K11"/>
  <c r="B11"/>
  <c r="AN10"/>
  <c r="AK10"/>
  <c r="AQ10" s="1"/>
  <c r="AJ10"/>
  <c r="AP10" s="1"/>
  <c r="AI10"/>
  <c r="AH10"/>
  <c r="AG10"/>
  <c r="AF10"/>
  <c r="AM10" s="1"/>
  <c r="AD10"/>
  <c r="AC10"/>
  <c r="Y10"/>
  <c r="X10"/>
  <c r="W10"/>
  <c r="U10"/>
  <c r="T10"/>
  <c r="S10"/>
  <c r="O10"/>
  <c r="N10"/>
  <c r="M10"/>
  <c r="V10" s="1"/>
  <c r="L10"/>
  <c r="K10"/>
  <c r="B10"/>
  <c r="AN9"/>
  <c r="AK9"/>
  <c r="AQ9" s="1"/>
  <c r="AJ9"/>
  <c r="AP9" s="1"/>
  <c r="AI9"/>
  <c r="AH9"/>
  <c r="AG9"/>
  <c r="AF9"/>
  <c r="AM9" s="1"/>
  <c r="AD9"/>
  <c r="AC9"/>
  <c r="Y9"/>
  <c r="X9"/>
  <c r="W9"/>
  <c r="U9"/>
  <c r="T9"/>
  <c r="S9"/>
  <c r="O9"/>
  <c r="N9"/>
  <c r="M9"/>
  <c r="V9" s="1"/>
  <c r="L9"/>
  <c r="K9"/>
  <c r="B9"/>
  <c r="AQ8"/>
  <c r="AP8"/>
  <c r="AN8"/>
  <c r="AM8"/>
  <c r="V8"/>
  <c r="K8"/>
  <c r="J8"/>
  <c r="AQ7"/>
  <c r="AP7"/>
  <c r="AN7"/>
  <c r="AM7"/>
  <c r="V7"/>
  <c r="K7"/>
  <c r="J7"/>
  <c r="AQ6"/>
  <c r="BB5" s="1"/>
  <c r="AP6"/>
  <c r="BA5" s="1"/>
  <c r="AN6"/>
  <c r="AM6"/>
  <c r="V6"/>
  <c r="K6"/>
  <c r="J6"/>
  <c r="AS5"/>
  <c r="AQ5"/>
  <c r="AP5"/>
  <c r="AN5"/>
  <c r="AM5"/>
  <c r="V5"/>
  <c r="K5"/>
  <c r="J5"/>
  <c r="AO113" i="4"/>
  <c r="AO107"/>
  <c r="AO106"/>
  <c r="AO103"/>
  <c r="AO102"/>
  <c r="AO44"/>
  <c r="AO43"/>
  <c r="AO38"/>
  <c r="AO36"/>
  <c r="AO24"/>
  <c r="AO22"/>
  <c r="BB11" i="5" l="1"/>
  <c r="BB9"/>
  <c r="BA11"/>
  <c r="BA9"/>
  <c r="BB19"/>
  <c r="BA21"/>
  <c r="BA33"/>
  <c r="BB49"/>
  <c r="BA111"/>
  <c r="BB24"/>
  <c r="BA55"/>
  <c r="BA62"/>
  <c r="BA71"/>
  <c r="BA77"/>
  <c r="BA89"/>
  <c r="BA105"/>
  <c r="BA119"/>
  <c r="AP17"/>
  <c r="BA17" s="1"/>
  <c r="AP18"/>
  <c r="AP25"/>
  <c r="AQ26"/>
  <c r="AN17"/>
  <c r="AN18"/>
  <c r="AP20"/>
  <c r="BA19" s="1"/>
  <c r="AQ21"/>
  <c r="AQ22"/>
  <c r="BB21" s="1"/>
  <c r="AN24"/>
  <c r="AN25"/>
  <c r="AQ27"/>
  <c r="AQ28"/>
  <c r="AQ33"/>
  <c r="BB33" s="1"/>
  <c r="AQ34"/>
  <c r="AN51"/>
  <c r="AP52"/>
  <c r="BA52" s="1"/>
  <c r="AP53"/>
  <c r="AQ54"/>
  <c r="BB52" s="1"/>
  <c r="AN57"/>
  <c r="AQ60"/>
  <c r="BB60" s="1"/>
  <c r="AQ61"/>
  <c r="AN64"/>
  <c r="AN65"/>
  <c r="AN70"/>
  <c r="AN71"/>
  <c r="AP73"/>
  <c r="BA73" s="1"/>
  <c r="AP74"/>
  <c r="AP75"/>
  <c r="AQ76"/>
  <c r="BB74" s="1"/>
  <c r="AN79"/>
  <c r="AQ87"/>
  <c r="AQ88"/>
  <c r="AN91"/>
  <c r="AN92"/>
  <c r="AP93"/>
  <c r="BA91" s="1"/>
  <c r="AN102"/>
  <c r="AN103"/>
  <c r="AP104"/>
  <c r="BA102" s="1"/>
  <c r="AQ105"/>
  <c r="AQ106"/>
  <c r="AN108"/>
  <c r="AN109"/>
  <c r="AP110"/>
  <c r="AQ111"/>
  <c r="BB111" s="1"/>
  <c r="AQ112"/>
  <c r="AN114"/>
  <c r="AN115"/>
  <c r="AP116"/>
  <c r="BA114" s="1"/>
  <c r="AQ117"/>
  <c r="BB117" s="1"/>
  <c r="AQ118"/>
  <c r="AN121"/>
  <c r="AP122"/>
  <c r="BA122" s="1"/>
  <c r="AP123"/>
  <c r="AQ124"/>
  <c r="BB122" s="1"/>
  <c r="AN127"/>
  <c r="AP128"/>
  <c r="BA128" s="1"/>
  <c r="AP129"/>
  <c r="AQ130"/>
  <c r="BB128" s="1"/>
  <c r="AN133"/>
  <c r="AP134"/>
  <c r="BA134" s="1"/>
  <c r="AP135"/>
  <c r="AQ136"/>
  <c r="BB134" s="1"/>
  <c r="AN147"/>
  <c r="AP148"/>
  <c r="BA148" s="1"/>
  <c r="AP149"/>
  <c r="AQ150"/>
  <c r="BB148" s="1"/>
  <c r="AP24"/>
  <c r="AN52"/>
  <c r="AN53"/>
  <c r="AN73"/>
  <c r="AN74"/>
  <c r="AN75"/>
  <c r="AN93"/>
  <c r="AN104"/>
  <c r="AN110"/>
  <c r="AN116"/>
  <c r="AN122"/>
  <c r="AN123"/>
  <c r="AN129"/>
  <c r="AN135"/>
  <c r="AQ51"/>
  <c r="AQ57"/>
  <c r="BB55" s="1"/>
  <c r="AQ64"/>
  <c r="AQ65"/>
  <c r="AQ70"/>
  <c r="BB70" s="1"/>
  <c r="AQ71"/>
  <c r="BB71" s="1"/>
  <c r="AQ79"/>
  <c r="BB77" s="1"/>
  <c r="AQ91"/>
  <c r="BB91" s="1"/>
  <c r="AQ102"/>
  <c r="BB102" s="1"/>
  <c r="AQ108"/>
  <c r="BB108" s="1"/>
  <c r="AQ109"/>
  <c r="AQ114"/>
  <c r="BB114" s="1"/>
  <c r="AQ121"/>
  <c r="BB119" s="1"/>
  <c r="AQ127"/>
  <c r="BB125" s="1"/>
  <c r="AQ133"/>
  <c r="BB131" s="1"/>
  <c r="AQ147"/>
  <c r="BB145" s="1"/>
  <c r="BB64" l="1"/>
  <c r="BA24"/>
  <c r="BB105"/>
  <c r="BB87"/>
  <c r="BA74"/>
  <c r="BB27"/>
  <c r="C56" i="2" l="1"/>
  <c r="C54"/>
  <c r="C53"/>
  <c r="C52"/>
  <c r="C51"/>
  <c r="C50"/>
  <c r="C49"/>
  <c r="C48"/>
  <c r="C47"/>
  <c r="C46"/>
  <c r="C45"/>
  <c r="C44"/>
  <c r="C43"/>
  <c r="C42"/>
  <c r="AG41"/>
  <c r="C41"/>
  <c r="C40"/>
  <c r="C39"/>
  <c r="C38"/>
  <c r="C37"/>
  <c r="C36"/>
  <c r="W35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H3"/>
  <c r="H35" s="1"/>
  <c r="AY160" i="1"/>
  <c r="AY159"/>
  <c r="AY158"/>
  <c r="AY157"/>
  <c r="AY145"/>
  <c r="AY143"/>
  <c r="AY127"/>
  <c r="AY125"/>
  <c r="C108"/>
  <c r="C107"/>
  <c r="C106"/>
  <c r="C105"/>
  <c r="C101"/>
  <c r="C100"/>
  <c r="C99"/>
  <c r="C98"/>
  <c r="C97"/>
  <c r="C96"/>
  <c r="C95"/>
  <c r="C94"/>
  <c r="C93"/>
  <c r="C91"/>
  <c r="C90"/>
  <c r="C86"/>
  <c r="AY83"/>
  <c r="C83"/>
  <c r="C82"/>
  <c r="C81"/>
  <c r="C79"/>
  <c r="C78"/>
  <c r="C76"/>
  <c r="C73"/>
  <c r="C74" s="1"/>
  <c r="C72"/>
  <c r="C69"/>
  <c r="C71" s="1"/>
  <c r="AY68"/>
  <c r="C68"/>
  <c r="AY67"/>
  <c r="C56"/>
  <c r="C55"/>
  <c r="C54"/>
  <c r="C53"/>
  <c r="C51"/>
  <c r="C48"/>
  <c r="AY46"/>
  <c r="C46"/>
  <c r="AY45"/>
  <c r="C44"/>
  <c r="C41"/>
  <c r="C39"/>
  <c r="C36"/>
  <c r="C34"/>
  <c r="C35" s="1"/>
  <c r="C33"/>
  <c r="C32"/>
  <c r="C31"/>
  <c r="C30"/>
  <c r="AY29"/>
  <c r="C27"/>
  <c r="C25"/>
  <c r="C22"/>
  <c r="AY19"/>
  <c r="C17"/>
  <c r="C16"/>
  <c r="AY13"/>
  <c r="C10"/>
  <c r="C11" s="1"/>
  <c r="C9"/>
  <c r="H5" i="2" l="1"/>
  <c r="H9"/>
  <c r="H13"/>
  <c r="H17"/>
  <c r="H21"/>
  <c r="H25"/>
  <c r="H29"/>
  <c r="H33"/>
  <c r="H42"/>
  <c r="H6"/>
  <c r="H10"/>
  <c r="H14"/>
  <c r="H18"/>
  <c r="H22"/>
  <c r="H26"/>
  <c r="H30"/>
  <c r="H32"/>
  <c r="H34"/>
  <c r="H36"/>
  <c r="H37"/>
  <c r="H38"/>
  <c r="H39"/>
  <c r="H40"/>
  <c r="H41"/>
  <c r="H7"/>
  <c r="H11"/>
  <c r="H15"/>
  <c r="H19"/>
  <c r="H23"/>
  <c r="H27"/>
  <c r="H44"/>
  <c r="H4"/>
  <c r="H8"/>
  <c r="H12"/>
  <c r="H16"/>
  <c r="H20"/>
  <c r="H24"/>
  <c r="H28"/>
  <c r="H31"/>
  <c r="C70" i="1"/>
  <c r="M33" i="2" l="1"/>
  <c r="M29"/>
  <c r="M25"/>
  <c r="M21"/>
  <c r="M17"/>
  <c r="M13"/>
  <c r="M9"/>
  <c r="M5"/>
  <c r="M31"/>
  <c r="M28"/>
  <c r="M24"/>
  <c r="M20"/>
  <c r="M16"/>
  <c r="M12"/>
  <c r="M8"/>
  <c r="M4"/>
  <c r="M27"/>
  <c r="M23"/>
  <c r="M19"/>
  <c r="M15"/>
  <c r="M11"/>
  <c r="M7"/>
  <c r="M3"/>
  <c r="M34"/>
  <c r="M30"/>
  <c r="M26"/>
  <c r="M22"/>
  <c r="M18"/>
  <c r="M14"/>
  <c r="M10"/>
  <c r="M6"/>
  <c r="S45" l="1"/>
  <c r="S42"/>
  <c r="S34"/>
  <c r="S30"/>
  <c r="S26"/>
  <c r="S22"/>
  <c r="S18"/>
  <c r="S14"/>
  <c r="S10"/>
  <c r="S6"/>
  <c r="S35"/>
  <c r="S33"/>
  <c r="S29"/>
  <c r="S25"/>
  <c r="S21"/>
  <c r="S17"/>
  <c r="S13"/>
  <c r="S9"/>
  <c r="S5"/>
  <c r="S46"/>
  <c r="S44"/>
  <c r="X3" s="1"/>
  <c r="S31"/>
  <c r="S28"/>
  <c r="S24"/>
  <c r="S20"/>
  <c r="S16"/>
  <c r="S12"/>
  <c r="S8"/>
  <c r="S4"/>
  <c r="S43"/>
  <c r="S41"/>
  <c r="S40"/>
  <c r="S39"/>
  <c r="S37"/>
  <c r="S36"/>
  <c r="S32"/>
  <c r="S27"/>
  <c r="S23"/>
  <c r="S19"/>
  <c r="S15"/>
  <c r="S11"/>
  <c r="S7"/>
  <c r="S3"/>
  <c r="X32" l="1"/>
  <c r="X27"/>
  <c r="X23"/>
  <c r="X19"/>
  <c r="X15"/>
  <c r="X11"/>
  <c r="X7"/>
  <c r="X34"/>
  <c r="X30"/>
  <c r="X26"/>
  <c r="X22"/>
  <c r="X18"/>
  <c r="X14"/>
  <c r="X10"/>
  <c r="X6"/>
  <c r="X33"/>
  <c r="X29"/>
  <c r="X25"/>
  <c r="X21"/>
  <c r="X17"/>
  <c r="X13"/>
  <c r="X9"/>
  <c r="X5"/>
  <c r="X38"/>
  <c r="X35"/>
  <c r="AC3" s="1"/>
  <c r="X31"/>
  <c r="X28"/>
  <c r="X24"/>
  <c r="X20"/>
  <c r="X16"/>
  <c r="X12"/>
  <c r="X8"/>
  <c r="X4"/>
  <c r="AC28" l="1"/>
  <c r="AC24"/>
  <c r="AC20"/>
  <c r="AC16"/>
  <c r="AC12"/>
  <c r="AC8"/>
  <c r="AC4"/>
  <c r="AC27"/>
  <c r="AC23"/>
  <c r="AC19"/>
  <c r="AC15"/>
  <c r="AC11"/>
  <c r="AC7"/>
  <c r="AC26"/>
  <c r="AC22"/>
  <c r="AC18"/>
  <c r="AC14"/>
  <c r="AC10"/>
  <c r="AC6"/>
  <c r="AC33"/>
  <c r="AC29"/>
  <c r="AC25"/>
  <c r="AC21"/>
  <c r="AC17"/>
  <c r="AC13"/>
  <c r="AC9"/>
  <c r="AC5"/>
  <c r="AH40" l="1"/>
  <c r="AH39"/>
  <c r="AH38"/>
  <c r="AH37"/>
  <c r="AH36"/>
  <c r="AH35"/>
  <c r="AH33"/>
  <c r="AH31"/>
  <c r="AH29"/>
  <c r="AH25"/>
  <c r="AH21"/>
  <c r="AH17"/>
  <c r="AH13"/>
  <c r="AH9"/>
  <c r="AH5"/>
  <c r="AH42"/>
  <c r="AH41"/>
  <c r="AH32"/>
  <c r="AH28"/>
  <c r="AH24"/>
  <c r="AH20"/>
  <c r="AH16"/>
  <c r="AH12"/>
  <c r="AH8"/>
  <c r="AH4"/>
  <c r="AH34"/>
  <c r="AH30"/>
  <c r="AH27"/>
  <c r="AH23"/>
  <c r="AH19"/>
  <c r="AH15"/>
  <c r="AH11"/>
  <c r="AH7"/>
  <c r="AH3"/>
  <c r="AH26"/>
  <c r="AH22"/>
  <c r="AH18"/>
  <c r="AH14"/>
  <c r="AH10"/>
  <c r="AH6"/>
</calcChain>
</file>

<file path=xl/comments1.xml><?xml version="1.0" encoding="utf-8"?>
<comments xmlns="http://schemas.openxmlformats.org/spreadsheetml/2006/main">
  <authors>
    <author>anon</author>
  </authors>
  <commentList>
    <comment ref="AT46" authorId="0">
      <text>
        <r>
          <rPr>
            <b/>
            <sz val="8"/>
            <color indexed="81"/>
            <rFont val="Tahoma"/>
            <family val="2"/>
          </rPr>
          <t>anon:</t>
        </r>
        <r>
          <rPr>
            <sz val="8"/>
            <color indexed="81"/>
            <rFont val="Tahoma"/>
            <family val="2"/>
          </rPr>
          <t xml:space="preserve">
poss trend to n???</t>
        </r>
      </text>
    </comment>
  </commentList>
</comments>
</file>

<file path=xl/comments2.xml><?xml version="1.0" encoding="utf-8"?>
<comments xmlns="http://schemas.openxmlformats.org/spreadsheetml/2006/main">
  <authors>
    <author>anon</author>
  </authors>
  <commentList>
    <comment ref="R8" authorId="0">
      <text>
        <r>
          <rPr>
            <b/>
            <sz val="8"/>
            <color indexed="81"/>
            <rFont val="Tahoma"/>
            <family val="2"/>
          </rPr>
          <t>anon:</t>
        </r>
        <r>
          <rPr>
            <sz val="8"/>
            <color indexed="81"/>
            <rFont val="Tahoma"/>
            <family val="2"/>
          </rPr>
          <t xml:space="preserve">
use 232</t>
        </r>
      </text>
    </comment>
    <comment ref="R15" authorId="0">
      <text>
        <r>
          <rPr>
            <b/>
            <sz val="8"/>
            <color indexed="81"/>
            <rFont val="Tahoma"/>
            <family val="2"/>
          </rPr>
          <t>anon:</t>
        </r>
        <r>
          <rPr>
            <sz val="8"/>
            <color indexed="81"/>
            <rFont val="Tahoma"/>
            <family val="2"/>
          </rPr>
          <t xml:space="preserve">
average TVRM
</t>
        </r>
      </text>
    </comment>
  </commentList>
</comments>
</file>

<file path=xl/sharedStrings.xml><?xml version="1.0" encoding="utf-8"?>
<sst xmlns="http://schemas.openxmlformats.org/spreadsheetml/2006/main" count="7771" uniqueCount="3132">
  <si>
    <t xml:space="preserve">d= david mindham </t>
  </si>
  <si>
    <t>haem- magn</t>
  </si>
  <si>
    <t>stab &lt;kiaman or Int</t>
  </si>
  <si>
    <t>m= matt</t>
  </si>
  <si>
    <t>0mT</t>
  </si>
  <si>
    <t>max temp[sus]; max AF</t>
  </si>
  <si>
    <t>Bedding corr d,i</t>
  </si>
  <si>
    <t>in-situ</t>
  </si>
  <si>
    <t>bedding corr d,i</t>
  </si>
  <si>
    <t>Bedding corr di coords</t>
  </si>
  <si>
    <t>in Situ</t>
  </si>
  <si>
    <t>bedd corr</t>
  </si>
  <si>
    <t>In situ</t>
  </si>
  <si>
    <t>n=norm, R=rev, C=comp, K/D=kia/dev</t>
  </si>
  <si>
    <r>
      <t>x10</t>
    </r>
    <r>
      <rPr>
        <b/>
        <vertAlign val="superscript"/>
        <sz val="10"/>
        <rFont val="Arial"/>
        <family val="2"/>
      </rPr>
      <t>-10</t>
    </r>
    <r>
      <rPr>
        <b/>
        <sz val="10"/>
        <rFont val="Arial"/>
        <family val="2"/>
      </rPr>
      <t xml:space="preserve"> m</t>
    </r>
    <r>
      <rPr>
        <b/>
        <vertAlign val="superscript"/>
        <sz val="10"/>
        <rFont val="Arial"/>
        <family val="2"/>
      </rPr>
      <t>3</t>
    </r>
  </si>
  <si>
    <t>Bedding</t>
  </si>
  <si>
    <t>low stab/W+, PD like grp</t>
  </si>
  <si>
    <t>ChRM Line</t>
  </si>
  <si>
    <t>Kiaman comp &amp; mid stab</t>
  </si>
  <si>
    <t>Devonian &amp; SE componsnts</t>
  </si>
  <si>
    <t>Others</t>
  </si>
  <si>
    <t>ChRM Plane</t>
  </si>
  <si>
    <t>Line</t>
  </si>
  <si>
    <t>Plane</t>
  </si>
  <si>
    <t>class</t>
  </si>
  <si>
    <t>pt on plane @VGP</t>
  </si>
  <si>
    <t>specimen</t>
  </si>
  <si>
    <t>Ht (m)</t>
  </si>
  <si>
    <t>Lithology</t>
  </si>
  <si>
    <t>NRM (mA/m)</t>
  </si>
  <si>
    <t>mag sus</t>
  </si>
  <si>
    <t>treatment</t>
  </si>
  <si>
    <t>mass (g)</t>
  </si>
  <si>
    <t>strk</t>
  </si>
  <si>
    <t>dip</t>
  </si>
  <si>
    <t>range</t>
  </si>
  <si>
    <t>dec</t>
  </si>
  <si>
    <t>inc</t>
  </si>
  <si>
    <t>a95</t>
  </si>
  <si>
    <t>d</t>
  </si>
  <si>
    <t>i</t>
  </si>
  <si>
    <t>rho</t>
  </si>
  <si>
    <t>comments</t>
  </si>
  <si>
    <t>Range</t>
  </si>
  <si>
    <t>Inc</t>
  </si>
  <si>
    <t>type</t>
  </si>
  <si>
    <t>polarity</t>
  </si>
  <si>
    <t>s-class VGP-lat</t>
  </si>
  <si>
    <t>t-class VGP lat</t>
  </si>
  <si>
    <t>s.Dec</t>
  </si>
  <si>
    <t>s.Inc</t>
  </si>
  <si>
    <t>g.Dec</t>
  </si>
  <si>
    <t>g.Inc</t>
  </si>
  <si>
    <t>Buttington Quarry</t>
  </si>
  <si>
    <t>jr6?[ms crisis]</t>
  </si>
  <si>
    <t>BQ1.1</t>
  </si>
  <si>
    <t>dk gry sst</t>
  </si>
  <si>
    <t>[450]</t>
  </si>
  <si>
    <t>450[]75</t>
  </si>
  <si>
    <t>0-150</t>
  </si>
  <si>
    <t>br=3,</t>
  </si>
  <si>
    <t>150-350</t>
  </si>
  <si>
    <t>400-520</t>
  </si>
  <si>
    <t>k</t>
  </si>
  <si>
    <t>150-@</t>
  </si>
  <si>
    <t>t1</t>
  </si>
  <si>
    <t>a1</t>
  </si>
  <si>
    <t>N?</t>
  </si>
  <si>
    <t xml:space="preserve">  </t>
  </si>
  <si>
    <t xml:space="preserve"> </t>
  </si>
  <si>
    <t>BQ2.1</t>
  </si>
  <si>
    <t>pink/gry</t>
  </si>
  <si>
    <t>[&gt;350]</t>
  </si>
  <si>
    <t>350[13.9]90</t>
  </si>
  <si>
    <t>415-460</t>
  </si>
  <si>
    <t>br=5,pl,r=3</t>
  </si>
  <si>
    <t>0-250</t>
  </si>
  <si>
    <t>250-410</t>
  </si>
  <si>
    <t>250-@</t>
  </si>
  <si>
    <t>n?</t>
  </si>
  <si>
    <t>bq3.1d</t>
  </si>
  <si>
    <t>400[46.5] 80</t>
  </si>
  <si>
    <t>100-350</t>
  </si>
  <si>
    <t>swts, pl,r=1.7</t>
  </si>
  <si>
    <t>350-420</t>
  </si>
  <si>
    <t>0-300</t>
  </si>
  <si>
    <t>t3/a</t>
  </si>
  <si>
    <t>a2</t>
  </si>
  <si>
    <t>N??</t>
  </si>
  <si>
    <t>BQ4.1</t>
  </si>
  <si>
    <t>[&gt;400]</t>
  </si>
  <si>
    <t>400[16.5]75</t>
  </si>
  <si>
    <t>0-200</t>
  </si>
  <si>
    <t>poss tr to N??</t>
  </si>
  <si>
    <t>200-415</t>
  </si>
  <si>
    <t>415-450</t>
  </si>
  <si>
    <t>se</t>
  </si>
  <si>
    <t>(N)???</t>
  </si>
  <si>
    <t>bq4d</t>
  </si>
  <si>
    <t>400[28.6] 80</t>
  </si>
  <si>
    <t>swts,br=3,10</t>
  </si>
  <si>
    <t>200-420</t>
  </si>
  <si>
    <t>420-440</t>
  </si>
  <si>
    <t>p</t>
  </si>
  <si>
    <t>200-@</t>
  </si>
  <si>
    <t>t3</t>
  </si>
  <si>
    <t>b1</t>
  </si>
  <si>
    <t>N???</t>
  </si>
  <si>
    <t>BQ5.1</t>
  </si>
  <si>
    <t>black</t>
  </si>
  <si>
    <t>450[]20</t>
  </si>
  <si>
    <t>515-@</t>
  </si>
  <si>
    <t>450-515</t>
  </si>
  <si>
    <t>s3</t>
  </si>
  <si>
    <t>R?</t>
  </si>
  <si>
    <t>BQ6.1</t>
  </si>
  <si>
    <t>d.gry</t>
  </si>
  <si>
    <t>[&gt;450]</t>
  </si>
  <si>
    <t>450[]50</t>
  </si>
  <si>
    <t>100-200</t>
  </si>
  <si>
    <t>510-@</t>
  </si>
  <si>
    <t>swts</t>
  </si>
  <si>
    <t>200-400</t>
  </si>
  <si>
    <t>R??</t>
  </si>
  <si>
    <t>BQ7.1</t>
  </si>
  <si>
    <t>l.grey sst</t>
  </si>
  <si>
    <t>400[24.9]90</t>
  </si>
  <si>
    <t>pl,r=1.6</t>
  </si>
  <si>
    <t>300-400</t>
  </si>
  <si>
    <t>430-450</t>
  </si>
  <si>
    <t>400-@</t>
  </si>
  <si>
    <t>BQ8.1</t>
  </si>
  <si>
    <t>gr-orag sst</t>
  </si>
  <si>
    <t>100-250</t>
  </si>
  <si>
    <t>br=2; poss tr to N??</t>
  </si>
  <si>
    <t>250-450</t>
  </si>
  <si>
    <t xml:space="preserve">I </t>
  </si>
  <si>
    <t>x</t>
  </si>
  <si>
    <t>??</t>
  </si>
  <si>
    <t>bq8d</t>
  </si>
  <si>
    <t>400[39.9] 80</t>
  </si>
  <si>
    <t>440-@</t>
  </si>
  <si>
    <t>br=3,swts;pl,br=8</t>
  </si>
  <si>
    <t>250-400</t>
  </si>
  <si>
    <t>BQ9.1</t>
  </si>
  <si>
    <t>400[47.4]90</t>
  </si>
  <si>
    <t>475-@</t>
  </si>
  <si>
    <t>200-430</t>
  </si>
  <si>
    <t>non possible</t>
  </si>
  <si>
    <t>R???</t>
  </si>
  <si>
    <t>BQ10.1</t>
  </si>
  <si>
    <t>gry fg sst</t>
  </si>
  <si>
    <t>400[38.2]90</t>
  </si>
  <si>
    <t>BQ11.1</t>
  </si>
  <si>
    <t>oran sst</t>
  </si>
  <si>
    <t>450[]90</t>
  </si>
  <si>
    <t>swts,br-4</t>
  </si>
  <si>
    <t>550-575</t>
  </si>
  <si>
    <t>530-@</t>
  </si>
  <si>
    <t>t2</t>
  </si>
  <si>
    <t>BQ12.1</t>
  </si>
  <si>
    <t>l.gry sst</t>
  </si>
  <si>
    <t>450-560</t>
  </si>
  <si>
    <t>pl,r=1.5</t>
  </si>
  <si>
    <t>100-520</t>
  </si>
  <si>
    <t>575-@</t>
  </si>
  <si>
    <t>400-530</t>
  </si>
  <si>
    <t>s2</t>
  </si>
  <si>
    <t>N</t>
  </si>
  <si>
    <t>BQ13.1</t>
  </si>
  <si>
    <t>150-540</t>
  </si>
  <si>
    <t>550-590</t>
  </si>
  <si>
    <t>530-590</t>
  </si>
  <si>
    <t>bq13a-d</t>
  </si>
  <si>
    <t>&gt;400</t>
  </si>
  <si>
    <t>400[15.8] 80</t>
  </si>
  <si>
    <t>450-480</t>
  </si>
  <si>
    <t>pl,r=3.4,br=14</t>
  </si>
  <si>
    <t>200-405</t>
  </si>
  <si>
    <t>both rev and n- n at end</t>
  </si>
  <si>
    <t>450-@</t>
  </si>
  <si>
    <t>?</t>
  </si>
  <si>
    <t>BQ14.1</t>
  </si>
  <si>
    <t>450[]60</t>
  </si>
  <si>
    <t>xaz switched;br=4</t>
  </si>
  <si>
    <t>200-515</t>
  </si>
  <si>
    <t>520-560</t>
  </si>
  <si>
    <t>BQ15.1</t>
  </si>
  <si>
    <t>alt-@520</t>
  </si>
  <si>
    <t>250-515</t>
  </si>
  <si>
    <t>K</t>
  </si>
  <si>
    <t>bq15a-d</t>
  </si>
  <si>
    <t>400[20.6]80</t>
  </si>
  <si>
    <t>br=3</t>
  </si>
  <si>
    <t>300-420</t>
  </si>
  <si>
    <t>BQ16.1</t>
  </si>
  <si>
    <t>grey sst</t>
  </si>
  <si>
    <t>400[33.8]90</t>
  </si>
  <si>
    <t>swts; poss tr ro R</t>
  </si>
  <si>
    <t>420-450</t>
  </si>
  <si>
    <t>???</t>
  </si>
  <si>
    <t>bq16a</t>
  </si>
  <si>
    <t>400[44.9]80</t>
  </si>
  <si>
    <t>100-200;410-420</t>
  </si>
  <si>
    <t>pl,r=1.4</t>
  </si>
  <si>
    <t>100-450</t>
  </si>
  <si>
    <t>BQ17.1</t>
  </si>
  <si>
    <t>400[20.9]90</t>
  </si>
  <si>
    <t>BQ18.1</t>
  </si>
  <si>
    <t>400[30.8]90</t>
  </si>
  <si>
    <t>pl,r=1.7</t>
  </si>
  <si>
    <t>400-440</t>
  </si>
  <si>
    <t>150-475</t>
  </si>
  <si>
    <t>bq19.1d</t>
  </si>
  <si>
    <t>400[21.7] 80</t>
  </si>
  <si>
    <t>410-450?</t>
  </si>
  <si>
    <t xml:space="preserve">br=5 </t>
  </si>
  <si>
    <t>bq20.2d</t>
  </si>
  <si>
    <t>400[27.5]80</t>
  </si>
  <si>
    <t>350-420?</t>
  </si>
  <si>
    <t>430-480</t>
  </si>
  <si>
    <t>BQ21.1</t>
  </si>
  <si>
    <t>550-@</t>
  </si>
  <si>
    <t>br=4,8</t>
  </si>
  <si>
    <t>bq22.1d</t>
  </si>
  <si>
    <t>400[23.7]80</t>
  </si>
  <si>
    <t>250-430</t>
  </si>
  <si>
    <t>460-@</t>
  </si>
  <si>
    <t>BQ23.1</t>
  </si>
  <si>
    <t>400[32.7]</t>
  </si>
  <si>
    <t>150-430</t>
  </si>
  <si>
    <t>0-430</t>
  </si>
  <si>
    <t>t3/k</t>
  </si>
  <si>
    <t>bq23d</t>
  </si>
  <si>
    <t>400[32.3] 80</t>
  </si>
  <si>
    <t>bq25.2d</t>
  </si>
  <si>
    <t>400[45.1] 80</t>
  </si>
  <si>
    <t>poss R???</t>
  </si>
  <si>
    <t>440-460</t>
  </si>
  <si>
    <t>BQ26.2d</t>
  </si>
  <si>
    <t>red</t>
  </si>
  <si>
    <t>x[500]</t>
  </si>
  <si>
    <t>640[432]</t>
  </si>
  <si>
    <t>0-100</t>
  </si>
  <si>
    <t>500-@</t>
  </si>
  <si>
    <t>100-@</t>
  </si>
  <si>
    <t>BQ27.1</t>
  </si>
  <si>
    <t>d. grey sst</t>
  </si>
  <si>
    <t>400[32.8]</t>
  </si>
  <si>
    <t>150-420</t>
  </si>
  <si>
    <t>bq27a-d</t>
  </si>
  <si>
    <t>400[40.8] 80</t>
  </si>
  <si>
    <t>poss n???</t>
  </si>
  <si>
    <t>0-480</t>
  </si>
  <si>
    <t>BQ28.1d</t>
  </si>
  <si>
    <t>640[324]</t>
  </si>
  <si>
    <t>swts;poss tr to N</t>
  </si>
  <si>
    <t>200-610</t>
  </si>
  <si>
    <t>c</t>
  </si>
  <si>
    <t>bq29.1d</t>
  </si>
  <si>
    <t>400[50.9] 80</t>
  </si>
  <si>
    <t>350-430</t>
  </si>
  <si>
    <t>br=7</t>
  </si>
  <si>
    <t>poss tr to r???</t>
  </si>
  <si>
    <t>BQ30.1</t>
  </si>
  <si>
    <t>d.grey sst</t>
  </si>
  <si>
    <t>100-150</t>
  </si>
  <si>
    <t>450-540</t>
  </si>
  <si>
    <t>br-3</t>
  </si>
  <si>
    <t>200-560</t>
  </si>
  <si>
    <t>BQ31.1</t>
  </si>
  <si>
    <t>400[30.7]</t>
  </si>
  <si>
    <t>bq31a-d</t>
  </si>
  <si>
    <t>400[31.0] 80</t>
  </si>
  <si>
    <t>250-405</t>
  </si>
  <si>
    <t>BQ32.2m</t>
  </si>
  <si>
    <t>[620]</t>
  </si>
  <si>
    <t>670[27]</t>
  </si>
  <si>
    <t>410-530</t>
  </si>
  <si>
    <t>0-410</t>
  </si>
  <si>
    <t>560-670</t>
  </si>
  <si>
    <t>bq33.1d</t>
  </si>
  <si>
    <t>400[32.0] 80</t>
  </si>
  <si>
    <t>200-300</t>
  </si>
  <si>
    <t>300-405</t>
  </si>
  <si>
    <t>400-450</t>
  </si>
  <si>
    <t>BQ34.1</t>
  </si>
  <si>
    <t>450[] 75</t>
  </si>
  <si>
    <t>540-@</t>
  </si>
  <si>
    <t>br-4</t>
  </si>
  <si>
    <t>515-540</t>
  </si>
  <si>
    <t>bq35.1d</t>
  </si>
  <si>
    <t>400[50.4] 80</t>
  </si>
  <si>
    <t>150-405</t>
  </si>
  <si>
    <t>405-430</t>
  </si>
  <si>
    <t>BQ36.2</t>
  </si>
  <si>
    <t>x[400]</t>
  </si>
  <si>
    <t>640[365]</t>
  </si>
  <si>
    <t>alt@450</t>
  </si>
  <si>
    <t>A</t>
  </si>
  <si>
    <t>BQ37.1</t>
  </si>
  <si>
    <t>[300]</t>
  </si>
  <si>
    <t>300[42.0]??</t>
  </si>
  <si>
    <t>bq38.1d</t>
  </si>
  <si>
    <t>400[40.5] 80</t>
  </si>
  <si>
    <t>BQ39.1</t>
  </si>
  <si>
    <t>400[39.8]90</t>
  </si>
  <si>
    <t>420-@</t>
  </si>
  <si>
    <t>swts,br=3</t>
  </si>
  <si>
    <t>R</t>
  </si>
  <si>
    <t>bq40.2d</t>
  </si>
  <si>
    <t>400[57.4] 80</t>
  </si>
  <si>
    <t>300-410</t>
  </si>
  <si>
    <t>300-@</t>
  </si>
  <si>
    <t>bq41.3d</t>
  </si>
  <si>
    <t>400[74.9] 80</t>
  </si>
  <si>
    <t>350-440</t>
  </si>
  <si>
    <t>swts,br=7,no@</t>
  </si>
  <si>
    <t>100-300</t>
  </si>
  <si>
    <t>bq42.3d</t>
  </si>
  <si>
    <t>400[79.9] 80</t>
  </si>
  <si>
    <t>100-400</t>
  </si>
  <si>
    <t>410-430</t>
  </si>
  <si>
    <t>bq43.3d</t>
  </si>
  <si>
    <t>400[66.5] 80</t>
  </si>
  <si>
    <t>400-430</t>
  </si>
  <si>
    <t>BQ44.1d</t>
  </si>
  <si>
    <t>670[3.5]</t>
  </si>
  <si>
    <t xml:space="preserve">N? </t>
  </si>
  <si>
    <t>bq44.3</t>
  </si>
  <si>
    <t>x[550]</t>
  </si>
  <si>
    <t>670[427]</t>
  </si>
  <si>
    <t>BQ45.1m</t>
  </si>
  <si>
    <t>[440]</t>
  </si>
  <si>
    <t>650[129]</t>
  </si>
  <si>
    <t>590-@</t>
  </si>
  <si>
    <t>300-470</t>
  </si>
  <si>
    <t>BQ46.2d</t>
  </si>
  <si>
    <t>670[419]</t>
  </si>
  <si>
    <t>400-580</t>
  </si>
  <si>
    <t>0-400</t>
  </si>
  <si>
    <t>0-@</t>
  </si>
  <si>
    <t>BQ47.1m</t>
  </si>
  <si>
    <t>650[165]</t>
  </si>
  <si>
    <t>swts,br-3</t>
  </si>
  <si>
    <t>300-590</t>
  </si>
  <si>
    <t>BQ48.1</t>
  </si>
  <si>
    <t>x[450]</t>
  </si>
  <si>
    <t>550[125.9]30mt</t>
  </si>
  <si>
    <t>swts,pl,r=1.4</t>
  </si>
  <si>
    <t>bq48.2m</t>
  </si>
  <si>
    <t>[410]</t>
  </si>
  <si>
    <t>650[272]</t>
  </si>
  <si>
    <t>500-590</t>
  </si>
  <si>
    <t>0-500</t>
  </si>
  <si>
    <t>bq49.1</t>
  </si>
  <si>
    <t>sst</t>
  </si>
  <si>
    <t>640[323]</t>
  </si>
  <si>
    <t>xaz 180out?</t>
  </si>
  <si>
    <t>200-450</t>
  </si>
  <si>
    <t>bq50.2</t>
  </si>
  <si>
    <t>640[193]</t>
  </si>
  <si>
    <t>bq61.1</t>
  </si>
  <si>
    <t>550[42.5]30mt</t>
  </si>
  <si>
    <t>350-615</t>
  </si>
  <si>
    <t>bq61.2d</t>
  </si>
  <si>
    <t>x[580]</t>
  </si>
  <si>
    <t>670[188]</t>
  </si>
  <si>
    <t>swts;xaz 180 out??</t>
  </si>
  <si>
    <t>350-610</t>
  </si>
  <si>
    <t>200-350</t>
  </si>
  <si>
    <t>350-@</t>
  </si>
  <si>
    <t>bq62.2d</t>
  </si>
  <si>
    <t>400[31.1]80</t>
  </si>
  <si>
    <t>swts,br=4,pl,r=1.2</t>
  </si>
  <si>
    <t>bq63.1d</t>
  </si>
  <si>
    <t>x[300]</t>
  </si>
  <si>
    <t>610[97.8]</t>
  </si>
  <si>
    <t>bq63.4d</t>
  </si>
  <si>
    <t>640[251]</t>
  </si>
  <si>
    <t>bq63.2d</t>
  </si>
  <si>
    <t>400[39.9]80</t>
  </si>
  <si>
    <t>bq64.1d</t>
  </si>
  <si>
    <t>400[32.6] 80</t>
  </si>
  <si>
    <t>460-@?</t>
  </si>
  <si>
    <t>0-350</t>
  </si>
  <si>
    <t>bq65.1d</t>
  </si>
  <si>
    <t>610[91.6]</t>
  </si>
  <si>
    <t>bq65.3d</t>
  </si>
  <si>
    <t>400[21.4] 80</t>
  </si>
  <si>
    <t>430-@</t>
  </si>
  <si>
    <t>swts,br=7, pl,r=0.9</t>
  </si>
  <si>
    <t>405-420</t>
  </si>
  <si>
    <t>bq66.1</t>
  </si>
  <si>
    <t>550[32.5]30mt</t>
  </si>
  <si>
    <t>swts,br-5</t>
  </si>
  <si>
    <t>450-615</t>
  </si>
  <si>
    <t>I</t>
  </si>
  <si>
    <t>0-615</t>
  </si>
  <si>
    <t>b2</t>
  </si>
  <si>
    <t>bq67.1d</t>
  </si>
  <si>
    <t>400[28.5]80</t>
  </si>
  <si>
    <t>br=2</t>
  </si>
  <si>
    <t>bq68.1d</t>
  </si>
  <si>
    <t>610[84.3]</t>
  </si>
  <si>
    <t>300-550</t>
  </si>
  <si>
    <t>bq69.1d</t>
  </si>
  <si>
    <t>400[96.8]80</t>
  </si>
  <si>
    <t>250-350</t>
  </si>
  <si>
    <t>405-@</t>
  </si>
  <si>
    <t>bq70.1d</t>
  </si>
  <si>
    <t>400[70.7]80</t>
  </si>
  <si>
    <t>D</t>
  </si>
  <si>
    <t>bq71.2d</t>
  </si>
  <si>
    <t>410-@</t>
  </si>
  <si>
    <t>bq72.2d</t>
  </si>
  <si>
    <t>400[26.8] 80</t>
  </si>
  <si>
    <t>300-350</t>
  </si>
  <si>
    <t>350-450</t>
  </si>
  <si>
    <t>bq73.1m</t>
  </si>
  <si>
    <t>[470]</t>
  </si>
  <si>
    <t>650[53]</t>
  </si>
  <si>
    <t>410-470</t>
  </si>
  <si>
    <t>470-@</t>
  </si>
  <si>
    <t>bq74.1m</t>
  </si>
  <si>
    <t>150[20.6]80mt</t>
  </si>
  <si>
    <t>100-180</t>
  </si>
  <si>
    <t>ch=tv??,pl,r=2</t>
  </si>
  <si>
    <t>190-@</t>
  </si>
  <si>
    <t>bq75.1</t>
  </si>
  <si>
    <t>550[39.8]60mt</t>
  </si>
  <si>
    <t>dev and SE in geog coords</t>
  </si>
  <si>
    <t>bq75.2d</t>
  </si>
  <si>
    <t>670[699]</t>
  </si>
  <si>
    <t>580-@</t>
  </si>
  <si>
    <t>swts;br=3</t>
  </si>
  <si>
    <t>bq76.1m</t>
  </si>
  <si>
    <t>670[164]</t>
  </si>
  <si>
    <t>470-560</t>
  </si>
  <si>
    <t>bq77.1</t>
  </si>
  <si>
    <t>550[43.2]60mt</t>
  </si>
  <si>
    <t>400-550</t>
  </si>
  <si>
    <t>bq77.2d</t>
  </si>
  <si>
    <t>670[202]</t>
  </si>
  <si>
    <t>400-500</t>
  </si>
  <si>
    <t>bq78.2m</t>
  </si>
  <si>
    <t>[&gt;670]</t>
  </si>
  <si>
    <t>670[23.5]</t>
  </si>
  <si>
    <t>br=3,6</t>
  </si>
  <si>
    <t>440-670</t>
  </si>
  <si>
    <t>bq80.1d</t>
  </si>
  <si>
    <t>400[25.5] 80</t>
  </si>
  <si>
    <t>bq81.2d</t>
  </si>
  <si>
    <t>400[28.3] 80</t>
  </si>
  <si>
    <t>n</t>
  </si>
  <si>
    <t>bq82.1d</t>
  </si>
  <si>
    <t>400[37.6] 80</t>
  </si>
  <si>
    <t>420-440?</t>
  </si>
  <si>
    <t>150-250</t>
  </si>
  <si>
    <t>250-420</t>
  </si>
  <si>
    <t>T1</t>
  </si>
  <si>
    <t>bq83.2d</t>
  </si>
  <si>
    <t>400[34.1] 80</t>
  </si>
  <si>
    <t>200-410</t>
  </si>
  <si>
    <t>410-440</t>
  </si>
  <si>
    <t>bq84.2d</t>
  </si>
  <si>
    <t>400[39.1] 80</t>
  </si>
  <si>
    <t>100-405</t>
  </si>
  <si>
    <t>430-460</t>
  </si>
  <si>
    <t>s1</t>
  </si>
  <si>
    <t>bq85.2m</t>
  </si>
  <si>
    <t>620[212]</t>
  </si>
  <si>
    <t>swts; ch=tv?</t>
  </si>
  <si>
    <t>100-410</t>
  </si>
  <si>
    <t>bq86.1d</t>
  </si>
  <si>
    <t>400 [30.8] 80</t>
  </si>
  <si>
    <t>100-300?</t>
  </si>
  <si>
    <t>swts,br=15,pl,r=1.4</t>
  </si>
  <si>
    <t>300-430</t>
  </si>
  <si>
    <t>also chrm=460-@=183,69,24</t>
  </si>
  <si>
    <t>bq87.1d</t>
  </si>
  <si>
    <t>&gt;350</t>
  </si>
  <si>
    <t>400[40.1] 80</t>
  </si>
  <si>
    <t>bq88.2d</t>
  </si>
  <si>
    <t>400[49.8] 80</t>
  </si>
  <si>
    <t>br=6</t>
  </si>
  <si>
    <t>bq89.1d</t>
  </si>
  <si>
    <t>400 [21.8] 80</t>
  </si>
  <si>
    <t>poss tr to n???</t>
  </si>
  <si>
    <t>bq90.2d</t>
  </si>
  <si>
    <t>150-300</t>
  </si>
  <si>
    <t>bq91_3d</t>
  </si>
  <si>
    <t>400[27.2]  80</t>
  </si>
  <si>
    <t>bq92.1</t>
  </si>
  <si>
    <t>550[65.2]10mt</t>
  </si>
  <si>
    <t>150-400</t>
  </si>
  <si>
    <t>0-550</t>
  </si>
  <si>
    <t>bq93.1</t>
  </si>
  <si>
    <t>swts,br-2</t>
  </si>
  <si>
    <t>350-550</t>
  </si>
  <si>
    <t>bq93.2m</t>
  </si>
  <si>
    <t>650[149]</t>
  </si>
  <si>
    <t>350-500</t>
  </si>
  <si>
    <t>bq94.1d</t>
  </si>
  <si>
    <t>400 [41.8]80</t>
  </si>
  <si>
    <t>br=5</t>
  </si>
  <si>
    <t>bq95.3d</t>
  </si>
  <si>
    <t>400[40.4] 80</t>
  </si>
  <si>
    <t>pl,r=1.0</t>
  </si>
  <si>
    <t>%</t>
  </si>
  <si>
    <t>bq96.1d</t>
  </si>
  <si>
    <t>400[29.9] 80</t>
  </si>
  <si>
    <t>470-@?</t>
  </si>
  <si>
    <t>bq98.1d</t>
  </si>
  <si>
    <t>400[33.4] 80</t>
  </si>
  <si>
    <t>s-class</t>
  </si>
  <si>
    <t>d= devonian</t>
  </si>
  <si>
    <t>k=kiaman</t>
  </si>
  <si>
    <t>i=other intermediates</t>
  </si>
  <si>
    <t>se=SE Positive inc grp</t>
  </si>
  <si>
    <t>HEF1.3m</t>
  </si>
  <si>
    <t>670[40]</t>
  </si>
  <si>
    <t>620-650</t>
  </si>
  <si>
    <t>pos tr to n??</t>
  </si>
  <si>
    <t>0-310</t>
  </si>
  <si>
    <t>SE</t>
  </si>
  <si>
    <t>300-620</t>
  </si>
  <si>
    <t>HEF1.1d</t>
  </si>
  <si>
    <t>550[42]</t>
  </si>
  <si>
    <t>swts,br=2</t>
  </si>
  <si>
    <t>HEF2.1</t>
  </si>
  <si>
    <t>[550]</t>
  </si>
  <si>
    <t>600[54]</t>
  </si>
  <si>
    <t>swts,br=2;pl,r=05, also pl=500-@=162,-72,31</t>
  </si>
  <si>
    <t>NW</t>
  </si>
  <si>
    <t>hef3.1</t>
  </si>
  <si>
    <t>600[31.7]</t>
  </si>
  <si>
    <t>hef3.2m</t>
  </si>
  <si>
    <t>670[35]</t>
  </si>
  <si>
    <t>530-620</t>
  </si>
  <si>
    <t>br-3, also 300-530=178,19,5</t>
  </si>
  <si>
    <t>hef5.2m</t>
  </si>
  <si>
    <t>670[34.2]</t>
  </si>
  <si>
    <t>350-670</t>
  </si>
  <si>
    <t>SI-R on SI-N;br=3</t>
  </si>
  <si>
    <t>hef6.1</t>
  </si>
  <si>
    <t>[&gt;600]</t>
  </si>
  <si>
    <t>600[20.1]</t>
  </si>
  <si>
    <t>swts,br=4</t>
  </si>
  <si>
    <t>dev</t>
  </si>
  <si>
    <t>pd</t>
  </si>
  <si>
    <t>hef6.2m</t>
  </si>
  <si>
    <t>670[37]</t>
  </si>
  <si>
    <t>560-@</t>
  </si>
  <si>
    <t>br=10</t>
  </si>
  <si>
    <t>300-440</t>
  </si>
  <si>
    <t xml:space="preserve">N </t>
  </si>
  <si>
    <t>hef7.1m</t>
  </si>
  <si>
    <t>[560]</t>
  </si>
  <si>
    <t>670[42]</t>
  </si>
  <si>
    <t>500-650</t>
  </si>
  <si>
    <t>hef7.3d</t>
  </si>
  <si>
    <t>550[117.6]</t>
  </si>
  <si>
    <t>br=3,pl,r=0.8</t>
  </si>
  <si>
    <t>hef8.1d</t>
  </si>
  <si>
    <t>590[131.6]</t>
  </si>
  <si>
    <t>440-560</t>
  </si>
  <si>
    <t>419-@</t>
  </si>
  <si>
    <t>hef8.2m</t>
  </si>
  <si>
    <t>[650]</t>
  </si>
  <si>
    <t>670[45]</t>
  </si>
  <si>
    <t>500-540</t>
  </si>
  <si>
    <t>br-3; PD at high Th??</t>
  </si>
  <si>
    <t>350-600</t>
  </si>
  <si>
    <t>hef9.1</t>
  </si>
  <si>
    <t>600[120]</t>
  </si>
  <si>
    <t>swts;</t>
  </si>
  <si>
    <t>450-500</t>
  </si>
  <si>
    <t>300-500</t>
  </si>
  <si>
    <t>hef9.2m</t>
  </si>
  <si>
    <t>670[50]</t>
  </si>
  <si>
    <t>410-500</t>
  </si>
  <si>
    <t>410-620</t>
  </si>
  <si>
    <t>hef10.1</t>
  </si>
  <si>
    <t>600[35]</t>
  </si>
  <si>
    <t>no good planes</t>
  </si>
  <si>
    <t xml:space="preserve">N?? </t>
  </si>
  <si>
    <t>hef11.2m</t>
  </si>
  <si>
    <t>670[22.4]</t>
  </si>
  <si>
    <t>470-650</t>
  </si>
  <si>
    <t>also 370-470=209,19,19</t>
  </si>
  <si>
    <t>350-650</t>
  </si>
  <si>
    <t>hef12.1m</t>
  </si>
  <si>
    <t>[590]</t>
  </si>
  <si>
    <t>670[99]</t>
  </si>
  <si>
    <t>350-590</t>
  </si>
  <si>
    <t>br-4;dev HT;poss tr to N??</t>
  </si>
  <si>
    <t>hef13.1m</t>
  </si>
  <si>
    <t>[530]</t>
  </si>
  <si>
    <t>590[141]</t>
  </si>
  <si>
    <t>hef14.1</t>
  </si>
  <si>
    <t>600[39]</t>
  </si>
  <si>
    <t>200-500</t>
  </si>
  <si>
    <t>hef14.2m</t>
  </si>
  <si>
    <t>670[200]</t>
  </si>
  <si>
    <t>650-@</t>
  </si>
  <si>
    <t>br=3;HT dev N also</t>
  </si>
  <si>
    <t>410-590</t>
  </si>
  <si>
    <t>0-590</t>
  </si>
  <si>
    <t>hef15.1m</t>
  </si>
  <si>
    <t>670[230]</t>
  </si>
  <si>
    <t>350-530</t>
  </si>
  <si>
    <t>br=4,9</t>
  </si>
  <si>
    <t>560-620</t>
  </si>
  <si>
    <t>0-560</t>
  </si>
  <si>
    <t>hef16.1m</t>
  </si>
  <si>
    <t>670[286]</t>
  </si>
  <si>
    <t>440-590</t>
  </si>
  <si>
    <t>590-620</t>
  </si>
  <si>
    <t>hef17.1m</t>
  </si>
  <si>
    <t>670[287]</t>
  </si>
  <si>
    <t>410-560</t>
  </si>
  <si>
    <t>hef17.3d</t>
  </si>
  <si>
    <t>[500]</t>
  </si>
  <si>
    <t>560[58.5]</t>
  </si>
  <si>
    <t>hef18.1m</t>
  </si>
  <si>
    <t>670[49]</t>
  </si>
  <si>
    <t>500-510</t>
  </si>
  <si>
    <t>650-670</t>
  </si>
  <si>
    <t>hef18.2d</t>
  </si>
  <si>
    <t>650[80.8]</t>
  </si>
  <si>
    <t>500-620</t>
  </si>
  <si>
    <t>hef19.1</t>
  </si>
  <si>
    <t>[600]</t>
  </si>
  <si>
    <t>600[36]</t>
  </si>
  <si>
    <t>0-450</t>
  </si>
  <si>
    <t>hef19.1m</t>
  </si>
  <si>
    <t>670[250]</t>
  </si>
  <si>
    <t>hef19.2d</t>
  </si>
  <si>
    <t>650[107.5]</t>
  </si>
  <si>
    <t>swts,pl,r=4</t>
  </si>
  <si>
    <t>R????</t>
  </si>
  <si>
    <t>hef20.1d</t>
  </si>
  <si>
    <t>590[75.7]</t>
  </si>
  <si>
    <t>300-530</t>
  </si>
  <si>
    <t>hef20.2m</t>
  </si>
  <si>
    <t>670[61]</t>
  </si>
  <si>
    <t>br=3,8; also 300-500=184,9,22</t>
  </si>
  <si>
    <t>Pentamerus  beds below</t>
  </si>
  <si>
    <t>hef30.1m</t>
  </si>
  <si>
    <t>haem</t>
  </si>
  <si>
    <t>300[40.5]; 80mt</t>
  </si>
  <si>
    <t>br-6</t>
  </si>
  <si>
    <t>350-370</t>
  </si>
  <si>
    <t>330-@</t>
  </si>
  <si>
    <t>hef30.2d</t>
  </si>
  <si>
    <t>470[333.7]</t>
  </si>
  <si>
    <t>hef31.2m</t>
  </si>
  <si>
    <t>n/a</t>
  </si>
  <si>
    <t>300[22.0]; 80mt</t>
  </si>
  <si>
    <t>300-320</t>
  </si>
  <si>
    <t>br=5, also 0-300=332,-37,15</t>
  </si>
  <si>
    <t>320-350</t>
  </si>
  <si>
    <t>330-370</t>
  </si>
  <si>
    <t>hef31.3d</t>
  </si>
  <si>
    <t>650[42.3]</t>
  </si>
  <si>
    <t>530-650</t>
  </si>
  <si>
    <t>440-550</t>
  </si>
  <si>
    <t>poss tr to rev???</t>
  </si>
  <si>
    <t>hef32.1m</t>
  </si>
  <si>
    <t>300[10.5]; 80mt</t>
  </si>
  <si>
    <t>????</t>
  </si>
  <si>
    <t>hef32.2d</t>
  </si>
  <si>
    <t>650[62.4]</t>
  </si>
  <si>
    <t>pl,r=4</t>
  </si>
  <si>
    <t>100-440</t>
  </si>
  <si>
    <t>hef33.1m</t>
  </si>
  <si>
    <t>300[20.5]; 80mt</t>
  </si>
  <si>
    <t>310-@</t>
  </si>
  <si>
    <t>hef33.3d</t>
  </si>
  <si>
    <t>650[47.3]</t>
  </si>
  <si>
    <t>100-530</t>
  </si>
  <si>
    <t>hef34.1m</t>
  </si>
  <si>
    <t>300[56.7]; 80mt</t>
  </si>
  <si>
    <t>250-330</t>
  </si>
  <si>
    <t>pl,r=294,8,21</t>
  </si>
  <si>
    <t>hef34.3d</t>
  </si>
  <si>
    <t>&gt;650</t>
  </si>
  <si>
    <t>650[32.4]</t>
  </si>
  <si>
    <t>no @</t>
  </si>
  <si>
    <t>470-620</t>
  </si>
  <si>
    <t>hef35.1m</t>
  </si>
  <si>
    <t>300[33.9]; 80mt</t>
  </si>
  <si>
    <t>200-320</t>
  </si>
  <si>
    <t>340-@</t>
  </si>
  <si>
    <t>hef35.1d</t>
  </si>
  <si>
    <t>650[344]</t>
  </si>
  <si>
    <t>no @, br=2,7</t>
  </si>
  <si>
    <t>470-590</t>
  </si>
  <si>
    <t>hef40.1m</t>
  </si>
  <si>
    <t>300[15.1]; 80mt</t>
  </si>
  <si>
    <t>360-@</t>
  </si>
  <si>
    <t>hef40.2d</t>
  </si>
  <si>
    <t>530[18.9]</t>
  </si>
  <si>
    <t>hef41a.1m</t>
  </si>
  <si>
    <t>300[31.1]; 80mt</t>
  </si>
  <si>
    <t>no@</t>
  </si>
  <si>
    <t>360-380</t>
  </si>
  <si>
    <t>310-360</t>
  </si>
  <si>
    <t>hef41a.2d</t>
  </si>
  <si>
    <t>530[55]</t>
  </si>
  <si>
    <t>100-500</t>
  </si>
  <si>
    <t>hef42.1m</t>
  </si>
  <si>
    <t>300[10.0]; 80mt</t>
  </si>
  <si>
    <t>hef42.3d</t>
  </si>
  <si>
    <t>530[68]</t>
  </si>
  <si>
    <t>100-470</t>
  </si>
  <si>
    <t>hef43.1m</t>
  </si>
  <si>
    <t>300[11.1]; 80mt</t>
  </si>
  <si>
    <t>br-2</t>
  </si>
  <si>
    <t>100-320</t>
  </si>
  <si>
    <t>320-370</t>
  </si>
  <si>
    <t>SE=se-NW groups</t>
  </si>
  <si>
    <t>k=kind of kiaman-like</t>
  </si>
  <si>
    <t>dev=e-w dev like</t>
  </si>
  <si>
    <t>Buttington Quarry: collected December 16th 2013</t>
  </si>
  <si>
    <t xml:space="preserve">Below &amp; to right collected apr, 14th, 2014, </t>
  </si>
  <si>
    <t>Sample No.</t>
  </si>
  <si>
    <t>sub-section ht (m)</t>
  </si>
  <si>
    <t>strat ht from base Tarannon shales</t>
  </si>
  <si>
    <t>base of SW section</t>
  </si>
  <si>
    <t>base of NW cliff section=16b level</t>
  </si>
  <si>
    <t>Gulley section base</t>
  </si>
  <si>
    <t>base of little cliff section</t>
  </si>
  <si>
    <t>BQ60</t>
  </si>
  <si>
    <t>base of slope-ramp section</t>
  </si>
  <si>
    <t>base of SSSI section</t>
  </si>
  <si>
    <t>base of south section</t>
  </si>
  <si>
    <t>BQ1</t>
  </si>
  <si>
    <t>BQ19</t>
  </si>
  <si>
    <t>BQ29a</t>
  </si>
  <si>
    <t>BQ39</t>
  </si>
  <si>
    <t>60c</t>
  </si>
  <si>
    <t>72a</t>
  </si>
  <si>
    <t>81a</t>
  </si>
  <si>
    <t>1a</t>
  </si>
  <si>
    <t>19a</t>
  </si>
  <si>
    <t>BQ29b</t>
  </si>
  <si>
    <t>39a</t>
  </si>
  <si>
    <t>60d</t>
  </si>
  <si>
    <t>BQ73</t>
  </si>
  <si>
    <t>81b</t>
  </si>
  <si>
    <t>BQ2</t>
  </si>
  <si>
    <t>BQ20</t>
  </si>
  <si>
    <t>BQ30</t>
  </si>
  <si>
    <t>39b</t>
  </si>
  <si>
    <t>60e</t>
  </si>
  <si>
    <t>73a</t>
  </si>
  <si>
    <t>81c</t>
  </si>
  <si>
    <t>2a</t>
  </si>
  <si>
    <t>20a</t>
  </si>
  <si>
    <t>30a</t>
  </si>
  <si>
    <t>39c</t>
  </si>
  <si>
    <t>BQ61</t>
  </si>
  <si>
    <t>73b</t>
  </si>
  <si>
    <t>BQ82</t>
  </si>
  <si>
    <t>2b</t>
  </si>
  <si>
    <t>20b</t>
  </si>
  <si>
    <t>30b</t>
  </si>
  <si>
    <t>BQ40</t>
  </si>
  <si>
    <t>61a</t>
  </si>
  <si>
    <t>BQ74</t>
  </si>
  <si>
    <t>82a</t>
  </si>
  <si>
    <t>BQ3</t>
  </si>
  <si>
    <t>20c</t>
  </si>
  <si>
    <t>BQ31</t>
  </si>
  <si>
    <t>40a</t>
  </si>
  <si>
    <t>61b</t>
  </si>
  <si>
    <t>74a</t>
  </si>
  <si>
    <t>BQ83</t>
  </si>
  <si>
    <t>3a</t>
  </si>
  <si>
    <t>BQ21</t>
  </si>
  <si>
    <t>31a</t>
  </si>
  <si>
    <t>40b</t>
  </si>
  <si>
    <t>BQ62</t>
  </si>
  <si>
    <t>BQ75</t>
  </si>
  <si>
    <t>83a</t>
  </si>
  <si>
    <t>BQ4</t>
  </si>
  <si>
    <t>21a</t>
  </si>
  <si>
    <t>31b</t>
  </si>
  <si>
    <t>40c</t>
  </si>
  <si>
    <t>62a</t>
  </si>
  <si>
    <t>75a</t>
  </si>
  <si>
    <t>BQ84</t>
  </si>
  <si>
    <t>4a</t>
  </si>
  <si>
    <t>21b</t>
  </si>
  <si>
    <t>31c</t>
  </si>
  <si>
    <t>40d</t>
  </si>
  <si>
    <t>62b</t>
  </si>
  <si>
    <t>BQ76</t>
  </si>
  <si>
    <t>BQ85</t>
  </si>
  <si>
    <t>4b</t>
  </si>
  <si>
    <t>BQ22</t>
  </si>
  <si>
    <t>BQ32</t>
  </si>
  <si>
    <t>BQ41</t>
  </si>
  <si>
    <t>BQ63</t>
  </si>
  <si>
    <t>76a</t>
  </si>
  <si>
    <t>85a</t>
  </si>
  <si>
    <t>BQ5</t>
  </si>
  <si>
    <t>22a</t>
  </si>
  <si>
    <t>32a</t>
  </si>
  <si>
    <t>41a</t>
  </si>
  <si>
    <t>63a</t>
  </si>
  <si>
    <t>BQ77</t>
  </si>
  <si>
    <t>85b</t>
  </si>
  <si>
    <t>BQ6</t>
  </si>
  <si>
    <t>22b</t>
  </si>
  <si>
    <t>32b</t>
  </si>
  <si>
    <t>41b</t>
  </si>
  <si>
    <t>63b</t>
  </si>
  <si>
    <t>77a</t>
  </si>
  <si>
    <t>BQ86</t>
  </si>
  <si>
    <t>6a</t>
  </si>
  <si>
    <t>22c</t>
  </si>
  <si>
    <t>BQ33</t>
  </si>
  <si>
    <t>41c</t>
  </si>
  <si>
    <t>63c</t>
  </si>
  <si>
    <t>77b</t>
  </si>
  <si>
    <t>86a</t>
  </si>
  <si>
    <t>6b</t>
  </si>
  <si>
    <t>BQ23</t>
  </si>
  <si>
    <t>BQ34</t>
  </si>
  <si>
    <t>41d</t>
  </si>
  <si>
    <t>BQ64</t>
  </si>
  <si>
    <t>BQ78</t>
  </si>
  <si>
    <t>BQ87</t>
  </si>
  <si>
    <t>6c</t>
  </si>
  <si>
    <t>23a</t>
  </si>
  <si>
    <t>BQ35</t>
  </si>
  <si>
    <t>BQ42</t>
  </si>
  <si>
    <t>64a</t>
  </si>
  <si>
    <t>78a</t>
  </si>
  <si>
    <t>BQ88</t>
  </si>
  <si>
    <t>BQ7</t>
  </si>
  <si>
    <t>23b</t>
  </si>
  <si>
    <t>35a</t>
  </si>
  <si>
    <t>42a</t>
  </si>
  <si>
    <t>BQ65</t>
  </si>
  <si>
    <t>78b</t>
  </si>
  <si>
    <t>88a</t>
  </si>
  <si>
    <t>BQ8</t>
  </si>
  <si>
    <t>23c</t>
  </si>
  <si>
    <t>35b</t>
  </si>
  <si>
    <t>42b</t>
  </si>
  <si>
    <t>65a</t>
  </si>
  <si>
    <t>78c</t>
  </si>
  <si>
    <t>88b</t>
  </si>
  <si>
    <t>8a</t>
  </si>
  <si>
    <t>BQ24</t>
  </si>
  <si>
    <t>35c</t>
  </si>
  <si>
    <t>42c</t>
  </si>
  <si>
    <t>BQ66</t>
  </si>
  <si>
    <t>BQ79</t>
  </si>
  <si>
    <t>88c</t>
  </si>
  <si>
    <t>BQ9</t>
  </si>
  <si>
    <t>24a</t>
  </si>
  <si>
    <t>BQ36</t>
  </si>
  <si>
    <t>BQ43</t>
  </si>
  <si>
    <t>66a</t>
  </si>
  <si>
    <t>79a</t>
  </si>
  <si>
    <t>BQ89</t>
  </si>
  <si>
    <t>9a</t>
  </si>
  <si>
    <t>24b</t>
  </si>
  <si>
    <t>36a</t>
  </si>
  <si>
    <t>43a</t>
  </si>
  <si>
    <t>66b</t>
  </si>
  <si>
    <t>79b</t>
  </si>
  <si>
    <t>89a</t>
  </si>
  <si>
    <t>BQ10</t>
  </si>
  <si>
    <t>BQ25</t>
  </si>
  <si>
    <t>36b</t>
  </si>
  <si>
    <t>43b</t>
  </si>
  <si>
    <t>BQ67</t>
  </si>
  <si>
    <t>BQ80</t>
  </si>
  <si>
    <t>89b</t>
  </si>
  <si>
    <t>10a</t>
  </si>
  <si>
    <t>25a</t>
  </si>
  <si>
    <t>flt after 25a</t>
  </si>
  <si>
    <t>36c</t>
  </si>
  <si>
    <t>43c</t>
  </si>
  <si>
    <t>67a</t>
  </si>
  <si>
    <t>80a</t>
  </si>
  <si>
    <t>89c</t>
  </si>
  <si>
    <t>10b</t>
  </si>
  <si>
    <t>25b</t>
  </si>
  <si>
    <t>BQ37</t>
  </si>
  <si>
    <t>43d</t>
  </si>
  <si>
    <t>BQ68</t>
  </si>
  <si>
    <t>80b</t>
  </si>
  <si>
    <t>BQ90</t>
  </si>
  <si>
    <t>10c</t>
  </si>
  <si>
    <t>BQ26</t>
  </si>
  <si>
    <t>bq26b to 27 is</t>
  </si>
  <si>
    <t>37a</t>
  </si>
  <si>
    <t>43e</t>
  </si>
  <si>
    <t>68a</t>
  </si>
  <si>
    <t>BQ81</t>
  </si>
  <si>
    <t>90a</t>
  </si>
  <si>
    <t>BQ11</t>
  </si>
  <si>
    <t>26a</t>
  </si>
  <si>
    <t>repeat of BQ23 to 25a?</t>
  </si>
  <si>
    <t>37b</t>
  </si>
  <si>
    <t>BQ44</t>
  </si>
  <si>
    <t>68b</t>
  </si>
  <si>
    <t>top sect</t>
  </si>
  <si>
    <t>90b</t>
  </si>
  <si>
    <t>11a</t>
  </si>
  <si>
    <t>26b</t>
  </si>
  <si>
    <t>44a</t>
  </si>
  <si>
    <t>BQ69</t>
  </si>
  <si>
    <t>top red mudst</t>
  </si>
  <si>
    <t>BQ91</t>
  </si>
  <si>
    <t>11b</t>
  </si>
  <si>
    <t>26c</t>
  </si>
  <si>
    <t>BQ38</t>
  </si>
  <si>
    <t>top of sub-section</t>
  </si>
  <si>
    <t>BQ45</t>
  </si>
  <si>
    <t>69a</t>
  </si>
  <si>
    <t>flt between marked bed (BQ70)</t>
  </si>
  <si>
    <t>91a</t>
  </si>
  <si>
    <t>BQ12</t>
  </si>
  <si>
    <t>26d</t>
  </si>
  <si>
    <t>1st major red mudstone</t>
  </si>
  <si>
    <t>45a</t>
  </si>
  <si>
    <t>BQ70</t>
  </si>
  <si>
    <t>and base of this section</t>
  </si>
  <si>
    <t>91b</t>
  </si>
  <si>
    <t>12a</t>
  </si>
  <si>
    <t>26e</t>
  </si>
  <si>
    <t>45b</t>
  </si>
  <si>
    <t>70a</t>
  </si>
  <si>
    <t>SSSI section down thrown</t>
  </si>
  <si>
    <t>91c</t>
  </si>
  <si>
    <t>BQ13</t>
  </si>
  <si>
    <t>BQ27</t>
  </si>
  <si>
    <t>BQ46</t>
  </si>
  <si>
    <t>BQ71</t>
  </si>
  <si>
    <t>BQ92</t>
  </si>
  <si>
    <t>BQ14</t>
  </si>
  <si>
    <t>27a</t>
  </si>
  <si>
    <t>46a</t>
  </si>
  <si>
    <t>BQ72</t>
  </si>
  <si>
    <t>BQ93</t>
  </si>
  <si>
    <t>14a</t>
  </si>
  <si>
    <t>27b</t>
  </si>
  <si>
    <t>46b</t>
  </si>
  <si>
    <t>sect top</t>
  </si>
  <si>
    <t>base of SSI sectio is arbitaroly used</t>
  </si>
  <si>
    <t>93a</t>
  </si>
  <si>
    <t>14b</t>
  </si>
  <si>
    <t>27c</t>
  </si>
  <si>
    <t>BQ47</t>
  </si>
  <si>
    <t>part missing above</t>
  </si>
  <si>
    <t>as top of slope ramp sect</t>
  </si>
  <si>
    <t>BQ94</t>
  </si>
  <si>
    <t>14c</t>
  </si>
  <si>
    <t>BQ28</t>
  </si>
  <si>
    <t>BQ48</t>
  </si>
  <si>
    <t>section top before</t>
  </si>
  <si>
    <t>but part missing in reality</t>
  </si>
  <si>
    <t>BQ95</t>
  </si>
  <si>
    <t>14d</t>
  </si>
  <si>
    <t>28a</t>
  </si>
  <si>
    <t>fault zone</t>
  </si>
  <si>
    <t>BQ96</t>
  </si>
  <si>
    <t>14e</t>
  </si>
  <si>
    <t>28b</t>
  </si>
  <si>
    <t>BQ49</t>
  </si>
  <si>
    <t>down thrown</t>
  </si>
  <si>
    <t>BQ97</t>
  </si>
  <si>
    <t>BQ15</t>
  </si>
  <si>
    <t>28c</t>
  </si>
  <si>
    <t>49a</t>
  </si>
  <si>
    <t>block- repeat of Bq43-48?</t>
  </si>
  <si>
    <t>BQ98</t>
  </si>
  <si>
    <t>15a</t>
  </si>
  <si>
    <t>BQ29</t>
  </si>
  <si>
    <t>49b</t>
  </si>
  <si>
    <t>section top</t>
  </si>
  <si>
    <t>15b</t>
  </si>
  <si>
    <t>0m on Gulley sect</t>
  </si>
  <si>
    <t>49c</t>
  </si>
  <si>
    <t>top correlated red mudst</t>
  </si>
  <si>
    <t>BQ16</t>
  </si>
  <si>
    <t>BQ50</t>
  </si>
  <si>
    <t>16a</t>
  </si>
  <si>
    <t>top</t>
  </si>
  <si>
    <t>top=lowest pt in quarry</t>
  </si>
  <si>
    <t>16b</t>
  </si>
  <si>
    <t>16c</t>
  </si>
  <si>
    <t>BQ17</t>
  </si>
  <si>
    <t>17a</t>
  </si>
  <si>
    <t>BQ18</t>
  </si>
  <si>
    <t>18a</t>
  </si>
  <si>
    <t>18b</t>
  </si>
  <si>
    <t>18c</t>
  </si>
  <si>
    <t>sect top (major flt)</t>
  </si>
  <si>
    <t>base tarannon shales</t>
  </si>
  <si>
    <t>Insitu directions</t>
  </si>
  <si>
    <t>Fm/Colour</t>
  </si>
  <si>
    <t>BB</t>
  </si>
  <si>
    <t>Entire section ht (m)</t>
  </si>
  <si>
    <t>MS crisis 0C</t>
  </si>
  <si>
    <t>haematite magn</t>
  </si>
  <si>
    <t xml:space="preserve">Present-day </t>
  </si>
  <si>
    <t>Kiaman-like (dual polarity)</t>
  </si>
  <si>
    <t>Devonian (Dual polarity)- dev2</t>
  </si>
  <si>
    <t>Devonian (Dual polarity)-dev1</t>
  </si>
  <si>
    <t>in-situ d,i</t>
  </si>
  <si>
    <t>n=norm, R=rev, P=pres, A=heat alteration</t>
  </si>
  <si>
    <t>Bedding corrected</t>
  </si>
  <si>
    <t>VGP</t>
  </si>
  <si>
    <t>pt on gc plane @223.4, 27.5</t>
  </si>
  <si>
    <t>t-class VGP</t>
  </si>
  <si>
    <t>Silurian ChRM Line</t>
  </si>
  <si>
    <t>Polarity</t>
  </si>
  <si>
    <t>CHRM</t>
  </si>
  <si>
    <t>GC-plane</t>
  </si>
  <si>
    <t>Latitude</t>
  </si>
  <si>
    <t>latitude</t>
  </si>
  <si>
    <t>strike</t>
  </si>
  <si>
    <t>Dec</t>
  </si>
  <si>
    <t>Spengill</t>
  </si>
  <si>
    <t>470[61.4]</t>
  </si>
  <si>
    <t>500[xx]</t>
  </si>
  <si>
    <t>br=2;pl,r=.8</t>
  </si>
  <si>
    <t>515-550</t>
  </si>
  <si>
    <t>skellgill</t>
  </si>
  <si>
    <t>530[78]</t>
  </si>
  <si>
    <t>alteration</t>
  </si>
  <si>
    <t>400[35.7]</t>
  </si>
  <si>
    <t>br=4,swts</t>
  </si>
  <si>
    <t>570[80.2]</t>
  </si>
  <si>
    <t>200-530</t>
  </si>
  <si>
    <t>pl.r=0.7</t>
  </si>
  <si>
    <t>500[58]</t>
  </si>
  <si>
    <t>400-540</t>
  </si>
  <si>
    <t>br=2,5</t>
  </si>
  <si>
    <t>0-540</t>
  </si>
  <si>
    <t>490[393.6]</t>
  </si>
  <si>
    <t>300[44]</t>
  </si>
  <si>
    <t>opp dev pol=0-300=261,14,34</t>
  </si>
  <si>
    <t>470[46.2]</t>
  </si>
  <si>
    <t>200-470</t>
  </si>
  <si>
    <t>pl,r=2.5</t>
  </si>
  <si>
    <t>550[77]</t>
  </si>
  <si>
    <t>530[?]</t>
  </si>
  <si>
    <t>Browgill</t>
  </si>
  <si>
    <t>550[49]</t>
  </si>
  <si>
    <t>str=450-550=22,-44,11</t>
  </si>
  <si>
    <t>200-570</t>
  </si>
  <si>
    <t>590-610</t>
  </si>
  <si>
    <t>570-@</t>
  </si>
  <si>
    <t>jc10</t>
  </si>
  <si>
    <t>375-525</t>
  </si>
  <si>
    <t>100-375</t>
  </si>
  <si>
    <t>620-@</t>
  </si>
  <si>
    <t>0-575</t>
  </si>
  <si>
    <t>550[158]</t>
  </si>
  <si>
    <t>jc11</t>
  </si>
  <si>
    <t>0-125</t>
  </si>
  <si>
    <t>125-300</t>
  </si>
  <si>
    <t>425-500</t>
  </si>
  <si>
    <t>also, ch=300-400=45,-44</t>
  </si>
  <si>
    <t>175-425</t>
  </si>
  <si>
    <t>400[60.2]</t>
  </si>
  <si>
    <t>jc12</t>
  </si>
  <si>
    <t>125-525</t>
  </si>
  <si>
    <t>600-@?</t>
  </si>
  <si>
    <t>br=3,,pl,r=1.6</t>
  </si>
  <si>
    <t>550[159]</t>
  </si>
  <si>
    <t>pl,r=0.8</t>
  </si>
  <si>
    <t>jc13</t>
  </si>
  <si>
    <t>175-375</t>
  </si>
  <si>
    <t>500-525</t>
  </si>
  <si>
    <t>swts,br=3; poss N??</t>
  </si>
  <si>
    <t>470[xx]</t>
  </si>
  <si>
    <t>str=520-@=11,45,2</t>
  </si>
  <si>
    <t>Felsite</t>
  </si>
  <si>
    <t>400-475</t>
  </si>
  <si>
    <t>F</t>
  </si>
  <si>
    <t>jc15</t>
  </si>
  <si>
    <t>none</t>
  </si>
  <si>
    <t>660-685</t>
  </si>
  <si>
    <t>250-575</t>
  </si>
  <si>
    <t>felsite</t>
  </si>
  <si>
    <t>470[6.7]</t>
  </si>
  <si>
    <t>opp pol to bb15</t>
  </si>
  <si>
    <t>470[20.5]</t>
  </si>
  <si>
    <t>0-515</t>
  </si>
  <si>
    <t>also Pd=540-@=12,61,5</t>
  </si>
  <si>
    <t>P</t>
  </si>
  <si>
    <t>jc17</t>
  </si>
  <si>
    <t>575;haem</t>
  </si>
  <si>
    <t>225-500</t>
  </si>
  <si>
    <t>dev ht comp</t>
  </si>
  <si>
    <t>225-@</t>
  </si>
  <si>
    <t>400[89.6]</t>
  </si>
  <si>
    <t>pl,r=3</t>
  </si>
  <si>
    <t>jc18</t>
  </si>
  <si>
    <t>600;haem</t>
  </si>
  <si>
    <t>150-525</t>
  </si>
  <si>
    <t>100-575</t>
  </si>
  <si>
    <t>550[89]</t>
  </si>
  <si>
    <t>jc19</t>
  </si>
  <si>
    <t>175-525</t>
  </si>
  <si>
    <t>525-@</t>
  </si>
  <si>
    <t>490-590</t>
  </si>
  <si>
    <t>dev plane,br=2; swts</t>
  </si>
  <si>
    <t>jc20</t>
  </si>
  <si>
    <t>150-350?</t>
  </si>
  <si>
    <t>poss r?? -both rev  and N comps</t>
  </si>
  <si>
    <t>100-550</t>
  </si>
  <si>
    <t>470[32.3]</t>
  </si>
  <si>
    <t>2nd k=100-400=166,33,14</t>
  </si>
  <si>
    <t>jc21</t>
  </si>
  <si>
    <t>Hebble</t>
  </si>
  <si>
    <t>670[217.6]</t>
  </si>
  <si>
    <t>550-630</t>
  </si>
  <si>
    <t>400-650</t>
  </si>
  <si>
    <t>650[252.5]</t>
  </si>
  <si>
    <t>400-600</t>
  </si>
  <si>
    <t xml:space="preserve">R </t>
  </si>
  <si>
    <t>640[110.3]</t>
  </si>
  <si>
    <t>610-@</t>
  </si>
  <si>
    <t>also dev,N</t>
  </si>
  <si>
    <t>jc30</t>
  </si>
  <si>
    <t>690-@</t>
  </si>
  <si>
    <t>450-670</t>
  </si>
  <si>
    <t>670-685</t>
  </si>
  <si>
    <t>670-@</t>
  </si>
  <si>
    <t>670[336.0]</t>
  </si>
  <si>
    <t>400-630</t>
  </si>
  <si>
    <t>630-@</t>
  </si>
  <si>
    <t>650[452.1]</t>
  </si>
  <si>
    <t>500-600</t>
  </si>
  <si>
    <t>630-650</t>
  </si>
  <si>
    <t>630[315.3]</t>
  </si>
  <si>
    <t>jc31</t>
  </si>
  <si>
    <t>680-@</t>
  </si>
  <si>
    <t>650-675</t>
  </si>
  <si>
    <t xml:space="preserve">poss n??; </t>
  </si>
  <si>
    <t>650[392.1]</t>
  </si>
  <si>
    <t>str=500-630=22,19,5</t>
  </si>
  <si>
    <t>685[659.1]</t>
  </si>
  <si>
    <t>0-630</t>
  </si>
  <si>
    <t>pl,r=5, poss R</t>
  </si>
  <si>
    <t>620[244.7]</t>
  </si>
  <si>
    <t>570[160]</t>
  </si>
  <si>
    <t>0-510</t>
  </si>
  <si>
    <t>pl,r=2</t>
  </si>
  <si>
    <t>jc32</t>
  </si>
  <si>
    <t>0-600</t>
  </si>
  <si>
    <t>600-660</t>
  </si>
  <si>
    <t>660-675</t>
  </si>
  <si>
    <t>600-@</t>
  </si>
  <si>
    <t>560[73.2]</t>
  </si>
  <si>
    <t>680[314.4]</t>
  </si>
  <si>
    <t>600-670</t>
  </si>
  <si>
    <t>670[241.4]</t>
  </si>
  <si>
    <t>500-630</t>
  </si>
  <si>
    <t>poss tr to N?&gt;630</t>
  </si>
  <si>
    <t>jc34</t>
  </si>
  <si>
    <t>670-690</t>
  </si>
  <si>
    <t>also ch=244,3,14</t>
  </si>
  <si>
    <t>680[309.5]</t>
  </si>
  <si>
    <t>550-670</t>
  </si>
  <si>
    <t>swts,br=5</t>
  </si>
  <si>
    <t>700[321.3]</t>
  </si>
  <si>
    <t>200-630</t>
  </si>
  <si>
    <t>640[132.0]</t>
  </si>
  <si>
    <t>br=5; rev OP=0-550=219,-29,33</t>
  </si>
  <si>
    <t>jc35</t>
  </si>
  <si>
    <t>100-660</t>
  </si>
  <si>
    <t>also ch=685-690=20,21,12</t>
  </si>
  <si>
    <t>670[219.8]</t>
  </si>
  <si>
    <t>pl,r=1.7; rev OP=0-600=214,-8,10</t>
  </si>
  <si>
    <t>670[175.0]</t>
  </si>
  <si>
    <t>600-650</t>
  </si>
  <si>
    <t>640[103.2]</t>
  </si>
  <si>
    <t>610-630</t>
  </si>
  <si>
    <t>pl,r=1.3</t>
  </si>
  <si>
    <t>575-630</t>
  </si>
  <si>
    <t>620[365.1]</t>
  </si>
  <si>
    <t>tr to dev N?</t>
  </si>
  <si>
    <t>620[633.0]</t>
  </si>
  <si>
    <t>550-610</t>
  </si>
  <si>
    <t>posibly dev N?</t>
  </si>
  <si>
    <t>570[99.7]</t>
  </si>
  <si>
    <t>550[66]</t>
  </si>
  <si>
    <t>n op=0-200=37,4,6</t>
  </si>
  <si>
    <t>560[82.8]</t>
  </si>
  <si>
    <t>520-@</t>
  </si>
  <si>
    <t>br=6;possibly N??</t>
  </si>
  <si>
    <t>hebble</t>
  </si>
  <si>
    <t>470[30.1]</t>
  </si>
  <si>
    <t>450-530</t>
  </si>
  <si>
    <t>540-560</t>
  </si>
  <si>
    <t>470[36.1]</t>
  </si>
  <si>
    <t>swts,br=10</t>
  </si>
  <si>
    <t>jc41</t>
  </si>
  <si>
    <t>685[663.5]</t>
  </si>
  <si>
    <t>630-670</t>
  </si>
  <si>
    <t>200-600</t>
  </si>
  <si>
    <t>670[471.0]</t>
  </si>
  <si>
    <t>pl,r=0.3</t>
  </si>
  <si>
    <t>620[529.2]</t>
  </si>
  <si>
    <t>pl,r=7</t>
  </si>
  <si>
    <t>570[227]</t>
  </si>
  <si>
    <t>500-550</t>
  </si>
  <si>
    <t>jc42</t>
  </si>
  <si>
    <t>675-685</t>
  </si>
  <si>
    <t>br=10;also ch=650-675=12,-39; also pl=675-@=268,68,13</t>
  </si>
  <si>
    <t>0-675</t>
  </si>
  <si>
    <t>680[522.4]</t>
  </si>
  <si>
    <t>700[328.3]</t>
  </si>
  <si>
    <t>630-680</t>
  </si>
  <si>
    <t>str=670-685=38,56,14</t>
  </si>
  <si>
    <t>630[502.9]</t>
  </si>
  <si>
    <t>jc43</t>
  </si>
  <si>
    <t>600-675</t>
  </si>
  <si>
    <t>0-680</t>
  </si>
  <si>
    <t>far hse</t>
  </si>
  <si>
    <t>0-490</t>
  </si>
  <si>
    <t>470[32.6]</t>
  </si>
  <si>
    <t>470-520</t>
  </si>
  <si>
    <t>400-515</t>
  </si>
  <si>
    <t>470[30.6]</t>
  </si>
  <si>
    <t>pl,r=1</t>
  </si>
  <si>
    <t>500[36.3]</t>
  </si>
  <si>
    <t>470[24.7]</t>
  </si>
  <si>
    <t>270-560</t>
  </si>
  <si>
    <t>str=575-@=50,59,17</t>
  </si>
  <si>
    <t>500[38]</t>
  </si>
  <si>
    <t>p,r=2.5</t>
  </si>
  <si>
    <t>400[20.2]</t>
  </si>
  <si>
    <t>250[xx]</t>
  </si>
  <si>
    <t>br=4</t>
  </si>
  <si>
    <t>str=200-@=48,45,6</t>
  </si>
  <si>
    <t>450[21.3]</t>
  </si>
  <si>
    <t>str=0-350=48,9,8</t>
  </si>
  <si>
    <t>400-490</t>
  </si>
  <si>
    <t>490[233]</t>
  </si>
  <si>
    <t>490-@</t>
  </si>
  <si>
    <t>400[23.7]</t>
  </si>
  <si>
    <t>ashgill</t>
  </si>
  <si>
    <t>530[??]</t>
  </si>
  <si>
    <t>jc53</t>
  </si>
  <si>
    <t>100-175</t>
  </si>
  <si>
    <t>also 2nd K 200-@=159,5,8</t>
  </si>
  <si>
    <t>400[36.6]</t>
  </si>
  <si>
    <t>415-@</t>
  </si>
  <si>
    <t>rev op=100-415=197,-5,23</t>
  </si>
  <si>
    <t>0-415</t>
  </si>
  <si>
    <t>300[39]</t>
  </si>
  <si>
    <t>100-340</t>
  </si>
  <si>
    <t>pl,r=0.5</t>
  </si>
  <si>
    <t>315-@</t>
  </si>
  <si>
    <t>400[41.0]</t>
  </si>
  <si>
    <t>400[48.8]</t>
  </si>
  <si>
    <t>400-420</t>
  </si>
  <si>
    <t>str=430-@=66,61,32; also 200-400=245,-33,28</t>
  </si>
  <si>
    <t>300[35.6]</t>
  </si>
  <si>
    <t>350-375</t>
  </si>
  <si>
    <t>310-340</t>
  </si>
  <si>
    <t>400[30.6]</t>
  </si>
  <si>
    <t>300[34.4]</t>
  </si>
  <si>
    <t>100-330</t>
  </si>
  <si>
    <t>none suitable</t>
  </si>
  <si>
    <t>shale</t>
  </si>
  <si>
    <t>400[44.8]</t>
  </si>
  <si>
    <t>pl,r=2; n op=430-@=40,9,21</t>
  </si>
  <si>
    <t>300[38]</t>
  </si>
  <si>
    <t>100-310</t>
  </si>
  <si>
    <t>320-340</t>
  </si>
  <si>
    <t>porphy</t>
  </si>
  <si>
    <t>560[354]</t>
  </si>
  <si>
    <t>550[110]</t>
  </si>
  <si>
    <t>Tuff</t>
  </si>
  <si>
    <t>470[40.1]</t>
  </si>
  <si>
    <t>pl.r=1</t>
  </si>
  <si>
    <t>tuff</t>
  </si>
  <si>
    <t>jc63</t>
  </si>
  <si>
    <t>swts,br=2;str=125-175, 210,73,25</t>
  </si>
  <si>
    <t>400[18.7]</t>
  </si>
  <si>
    <t>570[75]</t>
  </si>
  <si>
    <t>non</t>
  </si>
  <si>
    <t>470[5.5]</t>
  </si>
  <si>
    <t>250[xx]+AF</t>
  </si>
  <si>
    <t>possible R?;</t>
  </si>
  <si>
    <t>tuff-mud</t>
  </si>
  <si>
    <t>470[16.1]</t>
  </si>
  <si>
    <t>jc67</t>
  </si>
  <si>
    <t>`</t>
  </si>
  <si>
    <t>575-620?</t>
  </si>
  <si>
    <t>Sample Name</t>
  </si>
  <si>
    <t>Mass/g</t>
  </si>
  <si>
    <t>Orientation params</t>
  </si>
  <si>
    <t>fld-corr</t>
  </si>
  <si>
    <t>Mean Susceptability</t>
  </si>
  <si>
    <t>Principle Susceptibilities (normed)</t>
  </si>
  <si>
    <t>Anisotropy Factors</t>
  </si>
  <si>
    <t xml:space="preserve">Principle Directions </t>
  </si>
  <si>
    <t>AMS</t>
  </si>
  <si>
    <t>original</t>
  </si>
  <si>
    <t>X-az+180</t>
  </si>
  <si>
    <t>Principle Susceptabities (normed)</t>
  </si>
  <si>
    <t>Specimen Co-ordinates</t>
  </si>
  <si>
    <t>Geog Co-ordinates</t>
  </si>
  <si>
    <t>k3 better</t>
  </si>
  <si>
    <t>Geographic coordinates</t>
  </si>
  <si>
    <t xml:space="preserve"> bedding</t>
  </si>
  <si>
    <t>Bedding from</t>
  </si>
  <si>
    <t>a=measured at sample location</t>
  </si>
  <si>
    <t>lithology</t>
  </si>
  <si>
    <t xml:space="preserve"> p1</t>
  </si>
  <si>
    <t xml:space="preserve"> p2</t>
  </si>
  <si>
    <t xml:space="preserve"> p3</t>
  </si>
  <si>
    <t xml:space="preserve"> p4</t>
  </si>
  <si>
    <t>X-Az</t>
  </si>
  <si>
    <t xml:space="preserve"> dip</t>
  </si>
  <si>
    <t xml:space="preserve"> K x10-6</t>
  </si>
  <si>
    <t xml:space="preserve"> %err</t>
  </si>
  <si>
    <t>pK1</t>
  </si>
  <si>
    <t>pK2</t>
  </si>
  <si>
    <t>pK3</t>
  </si>
  <si>
    <t xml:space="preserve"> P</t>
  </si>
  <si>
    <t>L</t>
  </si>
  <si>
    <t>Q</t>
  </si>
  <si>
    <t>E</t>
  </si>
  <si>
    <t>T</t>
  </si>
  <si>
    <t>h%</t>
  </si>
  <si>
    <t>U</t>
  </si>
  <si>
    <t>k1</t>
  </si>
  <si>
    <t>K2</t>
  </si>
  <si>
    <t>k3</t>
  </si>
  <si>
    <t xml:space="preserve">with </t>
  </si>
  <si>
    <t>for pmagtool converted to all + incs</t>
  </si>
  <si>
    <t>K3 if x-az 180 out</t>
  </si>
  <si>
    <t>shape</t>
  </si>
  <si>
    <t>estimated from AMS</t>
  </si>
  <si>
    <t>field info</t>
  </si>
  <si>
    <t>b=field interpretation, applying measured dip to adjacent beds</t>
  </si>
  <si>
    <t>err</t>
  </si>
  <si>
    <t>x-az+180</t>
  </si>
  <si>
    <t>K1</t>
  </si>
  <si>
    <t>K3</t>
  </si>
  <si>
    <t>O,P,T</t>
  </si>
  <si>
    <t>c=interpreted post-field</t>
  </si>
  <si>
    <t>spengill</t>
  </si>
  <si>
    <t>BB1.1</t>
  </si>
  <si>
    <t>no</t>
  </si>
  <si>
    <t>B-C</t>
  </si>
  <si>
    <t>BB1.2</t>
  </si>
  <si>
    <t>yes</t>
  </si>
  <si>
    <t>BB1.3</t>
  </si>
  <si>
    <t>BB1.4</t>
  </si>
  <si>
    <t>Skellgill</t>
  </si>
  <si>
    <t>k1s</t>
  </si>
  <si>
    <t>k3s</t>
  </si>
  <si>
    <t>C?</t>
  </si>
  <si>
    <t>BB6.1</t>
  </si>
  <si>
    <t>K3S</t>
  </si>
  <si>
    <t>S/B-C</t>
  </si>
  <si>
    <t>BB6.2</t>
  </si>
  <si>
    <t>BB6.3</t>
  </si>
  <si>
    <t>BB6.4</t>
  </si>
  <si>
    <t>t</t>
  </si>
  <si>
    <t xml:space="preserve">O </t>
  </si>
  <si>
    <t>C-P</t>
  </si>
  <si>
    <t>O</t>
  </si>
  <si>
    <t>I-C?</t>
  </si>
  <si>
    <t>I-C</t>
  </si>
  <si>
    <t>I/ B-C</t>
  </si>
  <si>
    <t>B/C (k3)</t>
  </si>
  <si>
    <t>BB12.1</t>
  </si>
  <si>
    <t>BB12.2</t>
  </si>
  <si>
    <t>BB12.3</t>
  </si>
  <si>
    <t>BB14.1</t>
  </si>
  <si>
    <t xml:space="preserve">B/C  </t>
  </si>
  <si>
    <t>BB14.2</t>
  </si>
  <si>
    <t>BB14.3</t>
  </si>
  <si>
    <t>BB15.1</t>
  </si>
  <si>
    <t>k1i</t>
  </si>
  <si>
    <t>k3i</t>
  </si>
  <si>
    <t>average above/below</t>
  </si>
  <si>
    <t>BB15.2</t>
  </si>
  <si>
    <t>BB15.3</t>
  </si>
  <si>
    <t>BB15.4</t>
  </si>
  <si>
    <t>BB16.1</t>
  </si>
  <si>
    <t>o</t>
  </si>
  <si>
    <t>BB16.2</t>
  </si>
  <si>
    <t>BB16.3</t>
  </si>
  <si>
    <t>BB16.4</t>
  </si>
  <si>
    <t>browgill</t>
  </si>
  <si>
    <t>BB17.1</t>
  </si>
  <si>
    <t>BB17.2</t>
  </si>
  <si>
    <t>BB17.3</t>
  </si>
  <si>
    <t>C (k3)</t>
  </si>
  <si>
    <t>I?</t>
  </si>
  <si>
    <t>BB21.1</t>
  </si>
  <si>
    <t>BB21.2</t>
  </si>
  <si>
    <t>HEBB</t>
  </si>
  <si>
    <t xml:space="preserve">S </t>
  </si>
  <si>
    <t>use k3-ams</t>
  </si>
  <si>
    <t>C-P?</t>
  </si>
  <si>
    <t>fault between BB32/33??</t>
  </si>
  <si>
    <t>BB33.1</t>
  </si>
  <si>
    <t>S</t>
  </si>
  <si>
    <t>use k3 axis</t>
  </si>
  <si>
    <t>BB33.2</t>
  </si>
  <si>
    <t>BB33.3</t>
  </si>
  <si>
    <t>BB33.4</t>
  </si>
  <si>
    <t>use k3 ams</t>
  </si>
  <si>
    <t>I-C(k3)</t>
  </si>
  <si>
    <t>use k3 ams from bb34</t>
  </si>
  <si>
    <t>C-B (k3)</t>
  </si>
  <si>
    <t>BB39.1</t>
  </si>
  <si>
    <t>BB39.2</t>
  </si>
  <si>
    <t>BB39.3</t>
  </si>
  <si>
    <t>BB39.4</t>
  </si>
  <si>
    <t>BB41.1</t>
  </si>
  <si>
    <t>yes?</t>
  </si>
  <si>
    <t>B/C</t>
  </si>
  <si>
    <t>BB41.2</t>
  </si>
  <si>
    <t>BB41.3</t>
  </si>
  <si>
    <t>fardix</t>
  </si>
  <si>
    <t>use k3??</t>
  </si>
  <si>
    <t>BB45.1</t>
  </si>
  <si>
    <t>BB45.2</t>
  </si>
  <si>
    <t>BB45.3</t>
  </si>
  <si>
    <t>BB45.4</t>
  </si>
  <si>
    <t>BB46.1</t>
  </si>
  <si>
    <t>BB46.2</t>
  </si>
  <si>
    <t>BB46.3</t>
  </si>
  <si>
    <t>BB46.4</t>
  </si>
  <si>
    <t>I/B-C</t>
  </si>
  <si>
    <t>porphry</t>
  </si>
  <si>
    <t>BB61.1</t>
  </si>
  <si>
    <t>k1a</t>
  </si>
  <si>
    <t>BB61.2</t>
  </si>
  <si>
    <t>BB61.3</t>
  </si>
  <si>
    <t>BB61.4</t>
  </si>
  <si>
    <t>BB62.1</t>
  </si>
  <si>
    <t>BB62.2</t>
  </si>
  <si>
    <t>BB62.3</t>
  </si>
  <si>
    <t>BB62.4</t>
  </si>
  <si>
    <t>k3a</t>
  </si>
  <si>
    <t>BB65.1</t>
  </si>
  <si>
    <t>K3A</t>
  </si>
  <si>
    <t>BB65.2</t>
  </si>
  <si>
    <t>BB65.3</t>
  </si>
  <si>
    <t>BB65.4</t>
  </si>
  <si>
    <t>BB66.1</t>
  </si>
  <si>
    <t>BB66.2</t>
  </si>
  <si>
    <t>BB66.3</t>
  </si>
  <si>
    <t>BB66.4</t>
  </si>
  <si>
    <t>BB67.1</t>
  </si>
  <si>
    <t>BB67.2</t>
  </si>
  <si>
    <t>BB67.3</t>
  </si>
  <si>
    <t>BB67.4</t>
  </si>
  <si>
    <t>above coloured purple if oblate ans similar k3 ams and bedding</t>
  </si>
  <si>
    <t>s= sedimentary fabric (oblate)</t>
  </si>
  <si>
    <t>B-C= bedding cleavage intersection, prolate, or oblate</t>
  </si>
  <si>
    <t>I-S= inverse sedimentary fabric</t>
  </si>
  <si>
    <t>C= within-cleavage kmax, kmin normal to cleavage</t>
  </si>
  <si>
    <t>I-C= inverse cleavage (kmax, normal to cleavage)</t>
  </si>
  <si>
    <t>C-P= one axis in cleavage, 2nd axis on primative</t>
  </si>
  <si>
    <t>in Geographic coords, no felsite or Porphry</t>
  </si>
  <si>
    <t>30N</t>
  </si>
  <si>
    <t>37N</t>
  </si>
  <si>
    <t>55N</t>
  </si>
  <si>
    <t>57N</t>
  </si>
  <si>
    <t>47N</t>
  </si>
  <si>
    <t>38N</t>
  </si>
  <si>
    <t>49N</t>
  </si>
  <si>
    <t>52N?</t>
  </si>
  <si>
    <t>67N?</t>
  </si>
  <si>
    <t>74N??</t>
  </si>
  <si>
    <t>39N?</t>
  </si>
  <si>
    <t>39N</t>
  </si>
  <si>
    <t>46N</t>
  </si>
  <si>
    <t>40N</t>
  </si>
  <si>
    <t>45N?</t>
  </si>
  <si>
    <t>29N</t>
  </si>
  <si>
    <t>31N</t>
  </si>
  <si>
    <t>32N</t>
  </si>
  <si>
    <t>35N</t>
  </si>
  <si>
    <t>34N</t>
  </si>
  <si>
    <t>12N?</t>
  </si>
  <si>
    <t>a</t>
  </si>
  <si>
    <t>b</t>
  </si>
  <si>
    <t>trend to ChRM, sector correct</t>
  </si>
  <si>
    <t>yg= use joint TVRM dec or adjacent</t>
  </si>
  <si>
    <t>similar TVRM decs</t>
  </si>
  <si>
    <t>use similar adjacent angle</t>
  </si>
  <si>
    <t xml:space="preserve">using </t>
  </si>
  <si>
    <t>poor chrm</t>
  </si>
  <si>
    <t>+=good</t>
  </si>
  <si>
    <t>red= poorly oriented by TVRM</t>
  </si>
  <si>
    <t>poles</t>
  </si>
  <si>
    <t>good run with good tvrm</t>
  </si>
  <si>
    <t>expected TV Inc: 71</t>
  </si>
  <si>
    <t>ra=angle to add to dec to bring TVRM dec to 000</t>
  </si>
  <si>
    <t>Pirgu to Siluri</t>
  </si>
  <si>
    <t>BEWARE different formulaes for Ra</t>
  </si>
  <si>
    <t>Zebre to Vormsi</t>
  </si>
  <si>
    <t>d= depn. X=done, n=no bed c</t>
  </si>
  <si>
    <t>Behav.</t>
  </si>
  <si>
    <t>g=on 2g</t>
  </si>
  <si>
    <t xml:space="preserve"> TVRM</t>
  </si>
  <si>
    <t>Chrm</t>
  </si>
  <si>
    <t>Ra</t>
  </si>
  <si>
    <t>Rotated ChRM</t>
  </si>
  <si>
    <t xml:space="preserve"> +other comps</t>
  </si>
  <si>
    <t>Chrm Plane</t>
  </si>
  <si>
    <t>Rotated GC</t>
  </si>
  <si>
    <t>Class</t>
  </si>
  <si>
    <t>Sil/Ord</t>
  </si>
  <si>
    <t>sample</t>
  </si>
  <si>
    <t>depth</t>
  </si>
  <si>
    <t>depth wrt base sil</t>
  </si>
  <si>
    <t>Run or R-plugs</t>
  </si>
  <si>
    <t>LINEFIND</t>
  </si>
  <si>
    <t>Rho</t>
  </si>
  <si>
    <t>Notes</t>
  </si>
  <si>
    <t>angle Tv_ChRM</t>
  </si>
  <si>
    <t>tv correct sector</t>
  </si>
  <si>
    <t>Rotation angle</t>
  </si>
  <si>
    <t>Use TV rotation</t>
  </si>
  <si>
    <t>R_Dec</t>
  </si>
  <si>
    <t>R_Inc</t>
  </si>
  <si>
    <t>VGP lat</t>
  </si>
  <si>
    <t>GC VGP lat</t>
  </si>
  <si>
    <t>unoriented incs</t>
  </si>
  <si>
    <t>pt on gc plane</t>
  </si>
  <si>
    <t>375 [];90mT</t>
  </si>
  <si>
    <t>alt at 400</t>
  </si>
  <si>
    <t>ok</t>
  </si>
  <si>
    <t>y</t>
  </si>
  <si>
    <t>yg</t>
  </si>
  <si>
    <t>400 [];90mT</t>
  </si>
  <si>
    <t>0-210</t>
  </si>
  <si>
    <t>NE -ve incs at high AF</t>
  </si>
  <si>
    <t>no chrm</t>
  </si>
  <si>
    <t>210-350</t>
  </si>
  <si>
    <t xml:space="preserve"> scattered decs</t>
  </si>
  <si>
    <t>250-490</t>
  </si>
  <si>
    <t>br2,5</t>
  </si>
  <si>
    <t>Y+</t>
  </si>
  <si>
    <t>swts,br=2,6; pl,r=1.7</t>
  </si>
  <si>
    <t>480-@</t>
  </si>
  <si>
    <t>100-480</t>
  </si>
  <si>
    <t>br=2,6;pl,r=1.5</t>
  </si>
  <si>
    <t>br=2,5;swts</t>
  </si>
  <si>
    <t>br=2,6,12;swts</t>
  </si>
  <si>
    <t>swts,br=2,5,9</t>
  </si>
  <si>
    <t>375-@</t>
  </si>
  <si>
    <t>335[37.5]: 50mT</t>
  </si>
  <si>
    <t>335-420</t>
  </si>
  <si>
    <t>12.2g</t>
  </si>
  <si>
    <t>320[38.1];95mt</t>
  </si>
  <si>
    <t>430-500</t>
  </si>
  <si>
    <t>370[35.1]; 90mT</t>
  </si>
  <si>
    <t>410-460</t>
  </si>
  <si>
    <t>R2</t>
  </si>
  <si>
    <t>335[28.0]: 50mT</t>
  </si>
  <si>
    <t>0-335</t>
  </si>
  <si>
    <t>15.2g</t>
  </si>
  <si>
    <t>370[33.2];95mt</t>
  </si>
  <si>
    <t>320-@</t>
  </si>
  <si>
    <t>370[35.2]; 90mT</t>
  </si>
  <si>
    <t>poor TVRM??</t>
  </si>
  <si>
    <t>ch?370-420</t>
  </si>
  <si>
    <t>Jurmala</t>
  </si>
  <si>
    <t>335[25.4]: 50mT</t>
  </si>
  <si>
    <t>AF a bit noisy tr n?</t>
  </si>
  <si>
    <t>y+</t>
  </si>
  <si>
    <t>335-@</t>
  </si>
  <si>
    <t>370[16.7]; 90mT</t>
  </si>
  <si>
    <t>250-415</t>
  </si>
  <si>
    <t>415-475</t>
  </si>
  <si>
    <t>335[335]: 50mT</t>
  </si>
  <si>
    <t>brk=4</t>
  </si>
  <si>
    <t>bad TV</t>
  </si>
  <si>
    <t>415-430</t>
  </si>
  <si>
    <t>28.1g</t>
  </si>
  <si>
    <t>370[19.8];95mt</t>
  </si>
  <si>
    <t>swts,br=6</t>
  </si>
  <si>
    <t>220-370</t>
  </si>
  <si>
    <t>may be R??</t>
  </si>
  <si>
    <t>435-490</t>
  </si>
  <si>
    <t>370[20.7]; 90mT</t>
  </si>
  <si>
    <t>100-335</t>
  </si>
  <si>
    <t>pos tr to N at high af</t>
  </si>
  <si>
    <t>335-450</t>
  </si>
  <si>
    <t>Dobele</t>
  </si>
  <si>
    <t>335[20.6]: 50mT</t>
  </si>
  <si>
    <t>brk=4,7</t>
  </si>
  <si>
    <t>200-335</t>
  </si>
  <si>
    <t>r?</t>
  </si>
  <si>
    <t>31.2g</t>
  </si>
  <si>
    <t>370[12.5];95mt</t>
  </si>
  <si>
    <t>0-220</t>
  </si>
  <si>
    <t>370-470</t>
  </si>
  <si>
    <t>370[6.9]; 90mT</t>
  </si>
  <si>
    <t>br=2,5;pl,r=1.7</t>
  </si>
  <si>
    <t>tr to neg inc, high AF</t>
  </si>
  <si>
    <t>450-475</t>
  </si>
  <si>
    <t>33.2g</t>
  </si>
  <si>
    <t>370[15.5];95mt</t>
  </si>
  <si>
    <t>100-220</t>
  </si>
  <si>
    <t>alt?</t>
  </si>
  <si>
    <t>320-440</t>
  </si>
  <si>
    <t>440-490</t>
  </si>
  <si>
    <t>335[5.3]: 50mT</t>
  </si>
  <si>
    <t>brk=5</t>
  </si>
  <si>
    <t>250-300</t>
  </si>
  <si>
    <t>370[8.8]; 40mT</t>
  </si>
  <si>
    <t>335[8.8]: 50mT</t>
  </si>
  <si>
    <t>DIRM strong</t>
  </si>
  <si>
    <t>335-440</t>
  </si>
  <si>
    <t>37.2g</t>
  </si>
  <si>
    <t>370[29];95mt</t>
  </si>
  <si>
    <t>0-320</t>
  </si>
  <si>
    <t>ch may be grm?? Alt at 370</t>
  </si>
  <si>
    <t>Llandov</t>
  </si>
  <si>
    <t>Remte</t>
  </si>
  <si>
    <t>370[7.7]; 40mT</t>
  </si>
  <si>
    <t>brk=4,8: swts</t>
  </si>
  <si>
    <t>200-370</t>
  </si>
  <si>
    <t>Y</t>
  </si>
  <si>
    <t>370-@</t>
  </si>
  <si>
    <t>r??</t>
  </si>
  <si>
    <t>335[6.1]: 50mT</t>
  </si>
  <si>
    <t>brk=7</t>
  </si>
  <si>
    <t xml:space="preserve">poss K? </t>
  </si>
  <si>
    <t>410-425</t>
  </si>
  <si>
    <t>23.1g</t>
  </si>
  <si>
    <t>370[10.8];95mt</t>
  </si>
  <si>
    <t>alt at 360</t>
  </si>
  <si>
    <t>425-470</t>
  </si>
  <si>
    <t>R5</t>
  </si>
  <si>
    <t>370[3.4]; 40mT</t>
  </si>
  <si>
    <t>br=2,4;swts, ch,r=1.4</t>
  </si>
  <si>
    <t>25.2g</t>
  </si>
  <si>
    <t>370[7.2];95mt</t>
  </si>
  <si>
    <t>alt at 360?, bad tv</t>
  </si>
  <si>
    <t>26.1g</t>
  </si>
  <si>
    <t>370[5.7];95mt</t>
  </si>
  <si>
    <t>alt at 360?</t>
  </si>
  <si>
    <t>370-480</t>
  </si>
  <si>
    <t>S1</t>
  </si>
  <si>
    <t>370[6.4]; 40mT</t>
  </si>
  <si>
    <t>swts;br=4,6;ch,fwts</t>
  </si>
  <si>
    <t>strong dirm, poss K? or n?</t>
  </si>
  <si>
    <t>38.2g</t>
  </si>
  <si>
    <t>370[5.4];95mt</t>
  </si>
  <si>
    <t>poor tv</t>
  </si>
  <si>
    <t>39.1g</t>
  </si>
  <si>
    <t>370[2.2];95mt</t>
  </si>
  <si>
    <t>370-515</t>
  </si>
  <si>
    <t>220-@</t>
  </si>
  <si>
    <t>t2/s</t>
  </si>
  <si>
    <t>41.1g</t>
  </si>
  <si>
    <t>370[4.6];95mt</t>
  </si>
  <si>
    <t>T1/s</t>
  </si>
  <si>
    <t>42.2g</t>
  </si>
  <si>
    <t>370[4.9];95mt</t>
  </si>
  <si>
    <t>320-515</t>
  </si>
  <si>
    <t>t1/S</t>
  </si>
  <si>
    <t>br=2,6</t>
  </si>
  <si>
    <t>Saldus</t>
  </si>
  <si>
    <t>r</t>
  </si>
  <si>
    <t>br=1</t>
  </si>
  <si>
    <t>brk=2,6</t>
  </si>
  <si>
    <t>g= measured on RAPID 2g</t>
  </si>
  <si>
    <t>Hand held mag (surface) sus</t>
  </si>
  <si>
    <t>x10-^6 si</t>
  </si>
  <si>
    <t>height with respect to base Remte</t>
  </si>
  <si>
    <t>Kuldiga</t>
  </si>
  <si>
    <t>Kuili-2</t>
  </si>
  <si>
    <t>Kuili-1</t>
  </si>
  <si>
    <t>Smilgai Mbr</t>
  </si>
  <si>
    <t>Guibinai Mbr</t>
  </si>
  <si>
    <t>Paroveja Fm</t>
  </si>
  <si>
    <t>Johnstorp-2</t>
  </si>
  <si>
    <t>Johnstorp</t>
  </si>
  <si>
    <t>Mbr/fm</t>
  </si>
  <si>
    <t>thickness</t>
  </si>
  <si>
    <t>height (m)</t>
  </si>
  <si>
    <t>Grabowiec-6 core</t>
  </si>
  <si>
    <t>K-comp</t>
  </si>
  <si>
    <t>TVRM</t>
  </si>
  <si>
    <t>angle  to</t>
  </si>
  <si>
    <t>max useful temp[sus]</t>
  </si>
  <si>
    <t>u=upside dwn-inverted gm400 data; 180=R-plug invert dec</t>
  </si>
  <si>
    <t>K-oriented</t>
  </si>
  <si>
    <t>oriented</t>
  </si>
  <si>
    <t>using col Ao</t>
  </si>
  <si>
    <t xml:space="preserve"> add to K-Dec to </t>
  </si>
  <si>
    <t>rhs-directed</t>
  </si>
  <si>
    <t>Kiaman comp (K)</t>
  </si>
  <si>
    <t>using TRM</t>
  </si>
  <si>
    <t>using K</t>
  </si>
  <si>
    <t>Rota. ChRM</t>
  </si>
  <si>
    <t>Rota. GC</t>
  </si>
  <si>
    <t>get 207.1</t>
  </si>
  <si>
    <t>slab-strike</t>
  </si>
  <si>
    <t>Corlab_sample</t>
  </si>
  <si>
    <t>Run, type</t>
  </si>
  <si>
    <t>meas on 2G</t>
  </si>
  <si>
    <t>heat alteration</t>
  </si>
  <si>
    <t>plane class</t>
  </si>
  <si>
    <t>VGP lat-s-class</t>
  </si>
  <si>
    <t>VGP lat-t-class</t>
  </si>
  <si>
    <t>f</t>
  </si>
  <si>
    <t>last pt</t>
  </si>
  <si>
    <t>210-@</t>
  </si>
  <si>
    <t>u</t>
  </si>
  <si>
    <t>210-490</t>
  </si>
  <si>
    <t>100-210</t>
  </si>
  <si>
    <t>T350,AF[36.1]</t>
  </si>
  <si>
    <t>450-470</t>
  </si>
  <si>
    <t>310-390</t>
  </si>
  <si>
    <t>210-460</t>
  </si>
  <si>
    <t>410-490</t>
  </si>
  <si>
    <t>T350,AF[32.1]</t>
  </si>
  <si>
    <t>n??</t>
  </si>
  <si>
    <t>315-380</t>
  </si>
  <si>
    <t>180-@</t>
  </si>
  <si>
    <t>140-@</t>
  </si>
  <si>
    <t>T250,AF[21.4]</t>
  </si>
  <si>
    <t>br=2,6,10</t>
  </si>
  <si>
    <t>f88</t>
  </si>
  <si>
    <t>450-490</t>
  </si>
  <si>
    <t>r88</t>
  </si>
  <si>
    <t>T350,AF[30.9]</t>
  </si>
  <si>
    <t>410-480</t>
  </si>
  <si>
    <t>br=7,pl,r=0.8</t>
  </si>
  <si>
    <t>Sheinwoodian</t>
  </si>
  <si>
    <t>T250,AF[23.2]</t>
  </si>
  <si>
    <t>br=2,5,9</t>
  </si>
  <si>
    <t>muchisoni biozone</t>
  </si>
  <si>
    <t>T250,AF[23.3]</t>
  </si>
  <si>
    <t>320-365</t>
  </si>
  <si>
    <t>br=5,9</t>
  </si>
  <si>
    <t>T250,AF[23.5]</t>
  </si>
  <si>
    <t>T250,AF[25]</t>
  </si>
  <si>
    <t>315-365</t>
  </si>
  <si>
    <t>215-@??</t>
  </si>
  <si>
    <t>f90</t>
  </si>
  <si>
    <t>T250,AF[25.2]</t>
  </si>
  <si>
    <t>330-390</t>
  </si>
  <si>
    <t>br=2,7,10</t>
  </si>
  <si>
    <t>0-340</t>
  </si>
  <si>
    <t>r90</t>
  </si>
  <si>
    <t>T350,AF[35.0]</t>
  </si>
  <si>
    <t>br=3,13, pl,r=0.9</t>
  </si>
  <si>
    <t>210-430</t>
  </si>
  <si>
    <t>T250,AF[25.4]</t>
  </si>
  <si>
    <t>br=2,6;Tr to N??</t>
  </si>
  <si>
    <t>T250,AF[25.3]</t>
  </si>
  <si>
    <t>br=7,10</t>
  </si>
  <si>
    <t>T250,AF[25.9]</t>
  </si>
  <si>
    <t>br=2,6;swts,pl,r=1.2</t>
  </si>
  <si>
    <t>365-@</t>
  </si>
  <si>
    <t>T250,AF[26.5]</t>
  </si>
  <si>
    <t>100-315</t>
  </si>
  <si>
    <t>f93</t>
  </si>
  <si>
    <t>T250,AF[25.8]</t>
  </si>
  <si>
    <t>315-400</t>
  </si>
  <si>
    <t>T250,AF[24.2]</t>
  </si>
  <si>
    <t>br=2,7,9;pl,r=2;str=340-@=293,-46,9</t>
  </si>
  <si>
    <t>T460[103]</t>
  </si>
  <si>
    <t>base Telychian</t>
  </si>
  <si>
    <t>T520[49]</t>
  </si>
  <si>
    <t>br=2,5,11</t>
  </si>
  <si>
    <t>T520[15]</t>
  </si>
  <si>
    <t>0-360</t>
  </si>
  <si>
    <t>plugs in a run  flagged</t>
  </si>
  <si>
    <t>a=good planes</t>
  </si>
  <si>
    <t>average K in run</t>
  </si>
  <si>
    <t>b=bad planes</t>
  </si>
  <si>
    <t>from sister in run</t>
  </si>
  <si>
    <t>none=not classified</t>
  </si>
  <si>
    <t>yellow blocks in this col indicate</t>
  </si>
  <si>
    <t>big TVRM dispersion</t>
  </si>
  <si>
    <t>Core-A</t>
  </si>
  <si>
    <t>Hand held (surface Ms)</t>
  </si>
  <si>
    <t>cm</t>
  </si>
  <si>
    <t>meter</t>
  </si>
  <si>
    <t>x10-6 SI</t>
  </si>
  <si>
    <t>Grabowiec-6</t>
  </si>
  <si>
    <t>Spec</t>
  </si>
  <si>
    <t xml:space="preserve"> p1,p2,p3,p4</t>
  </si>
  <si>
    <t xml:space="preserve"> field</t>
  </si>
  <si>
    <t xml:space="preserve"> freq</t>
  </si>
  <si>
    <t xml:space="preserve"> strk</t>
  </si>
  <si>
    <t>B stk</t>
  </si>
  <si>
    <t>B dip</t>
  </si>
  <si>
    <t xml:space="preserve"> K</t>
  </si>
  <si>
    <t xml:space="preserve"> err</t>
  </si>
  <si>
    <t xml:space="preserve"> vol</t>
  </si>
  <si>
    <t xml:space="preserve"> F</t>
  </si>
  <si>
    <t xml:space="preserve"> F12</t>
  </si>
  <si>
    <t xml:space="preserve"> F13</t>
  </si>
  <si>
    <t>lnL</t>
  </si>
  <si>
    <t>lnF</t>
  </si>
  <si>
    <t>lnP</t>
  </si>
  <si>
    <t>Pj</t>
  </si>
  <si>
    <t>H%</t>
  </si>
  <si>
    <t>TK11</t>
  </si>
  <si>
    <t>TK22</t>
  </si>
  <si>
    <t>TK33</t>
  </si>
  <si>
    <t>TK12</t>
  </si>
  <si>
    <t>TK23</t>
  </si>
  <si>
    <t>TK13</t>
  </si>
  <si>
    <t>k1-Dec</t>
  </si>
  <si>
    <t>k1-Inc</t>
  </si>
  <si>
    <t>k1-err</t>
  </si>
  <si>
    <t>k2-Dec</t>
  </si>
  <si>
    <t>k2-Inc</t>
  </si>
  <si>
    <t>k2-err</t>
  </si>
  <si>
    <t>k3-Dec</t>
  </si>
  <si>
    <t>k3-Inc</t>
  </si>
  <si>
    <t>k3-err</t>
  </si>
  <si>
    <t>s1-Dec</t>
  </si>
  <si>
    <t>s1-Inc</t>
  </si>
  <si>
    <t>s2-Dec</t>
  </si>
  <si>
    <t>s2-Inc</t>
  </si>
  <si>
    <t>s3-Dec</t>
  </si>
  <si>
    <t>s3-Inc</t>
  </si>
  <si>
    <t>B1-Dec</t>
  </si>
  <si>
    <t>B1-Inc</t>
  </si>
  <si>
    <t>B2-Dec</t>
  </si>
  <si>
    <t>B2-Inc</t>
  </si>
  <si>
    <t>B3-Dec</t>
  </si>
  <si>
    <t>B3-Inc</t>
  </si>
  <si>
    <t>Cefn</t>
  </si>
  <si>
    <t>Tarannon</t>
  </si>
  <si>
    <t>BQ2A</t>
  </si>
  <si>
    <t>3,0,3,90</t>
  </si>
  <si>
    <t>F1</t>
  </si>
  <si>
    <t>BQ2B</t>
  </si>
  <si>
    <t>kmax</t>
  </si>
  <si>
    <t>BQ2C</t>
  </si>
  <si>
    <t>BQ4A</t>
  </si>
  <si>
    <t>BQ4B</t>
  </si>
  <si>
    <t>BQ10A</t>
  </si>
  <si>
    <t>BQ10B</t>
  </si>
  <si>
    <t>BQ10C</t>
  </si>
  <si>
    <t>Minor Fault</t>
  </si>
  <si>
    <t>BQ13C</t>
  </si>
  <si>
    <t>BQ14A</t>
  </si>
  <si>
    <t>BQ14B</t>
  </si>
  <si>
    <t>BQ15B</t>
  </si>
  <si>
    <t>BQ15C</t>
  </si>
  <si>
    <t>Cefn Fm above here</t>
  </si>
  <si>
    <t>kmin</t>
  </si>
  <si>
    <t>BQ16B</t>
  </si>
  <si>
    <t>BQ17A</t>
  </si>
  <si>
    <t>BQ17C</t>
  </si>
  <si>
    <t>BQ18A</t>
  </si>
  <si>
    <t>BQ18B</t>
  </si>
  <si>
    <t>BQ19.2</t>
  </si>
  <si>
    <t>BQ21.2</t>
  </si>
  <si>
    <t>BQ26.1</t>
  </si>
  <si>
    <t>BQ26.3</t>
  </si>
  <si>
    <t>BQ27B</t>
  </si>
  <si>
    <t>BQ28.2</t>
  </si>
  <si>
    <t>BQ28.3</t>
  </si>
  <si>
    <t>BQ30A</t>
  </si>
  <si>
    <t>BQ30B</t>
  </si>
  <si>
    <t>BQ30C</t>
  </si>
  <si>
    <t>BQ31B</t>
  </si>
  <si>
    <t>BQ31C</t>
  </si>
  <si>
    <t>BQ32.1</t>
  </si>
  <si>
    <t>BQ33.2</t>
  </si>
  <si>
    <t>BQ34A</t>
  </si>
  <si>
    <t>BQ34B</t>
  </si>
  <si>
    <t>BQ34C</t>
  </si>
  <si>
    <t>BQ36.1</t>
  </si>
  <si>
    <t>BQ44.2</t>
  </si>
  <si>
    <t>BQ46.1</t>
  </si>
  <si>
    <t>BQ47.2</t>
  </si>
  <si>
    <t>BQ50.1</t>
  </si>
  <si>
    <t>BQ63.3</t>
  </si>
  <si>
    <t>BQ65.2</t>
  </si>
  <si>
    <t>BQ72.3</t>
  </si>
  <si>
    <t>BQ74.3</t>
  </si>
  <si>
    <t>BQ75.3</t>
  </si>
  <si>
    <t>BQ76.1</t>
  </si>
  <si>
    <t>BQ77.3</t>
  </si>
  <si>
    <t>BQ78.3</t>
  </si>
  <si>
    <t>BQ80.2</t>
  </si>
  <si>
    <t>BQ85.1</t>
  </si>
  <si>
    <t>BQ85.2</t>
  </si>
  <si>
    <t>BQ90.3</t>
  </si>
  <si>
    <t>B-stk</t>
  </si>
  <si>
    <t>B-dip</t>
  </si>
  <si>
    <t>HEF1.2</t>
  </si>
  <si>
    <t>Kmax</t>
  </si>
  <si>
    <t>HEF2.2</t>
  </si>
  <si>
    <t>HEF3.3</t>
  </si>
  <si>
    <t>HEF5.1</t>
  </si>
  <si>
    <t>HEF5.3</t>
  </si>
  <si>
    <t>HEF6.3</t>
  </si>
  <si>
    <t>HEF7.2</t>
  </si>
  <si>
    <t>HEF10.1</t>
  </si>
  <si>
    <t>HEF10.2</t>
  </si>
  <si>
    <t>HEF10.3</t>
  </si>
  <si>
    <t>HEF11.1</t>
  </si>
  <si>
    <t>HEF12.2</t>
  </si>
  <si>
    <t>HEF12.3</t>
  </si>
  <si>
    <t>HEF13.2</t>
  </si>
  <si>
    <t>HEF14.3</t>
  </si>
  <si>
    <t>HEF15.2</t>
  </si>
  <si>
    <t>HEF15.3</t>
  </si>
  <si>
    <t>HEF16.2</t>
  </si>
  <si>
    <t>HEF17.2</t>
  </si>
  <si>
    <t>HEF19.2</t>
  </si>
  <si>
    <t>HEF42.2</t>
  </si>
  <si>
    <t>HEF43.2</t>
  </si>
  <si>
    <t>HEF43.3</t>
  </si>
  <si>
    <t>Kmin</t>
  </si>
  <si>
    <t>All HEF</t>
  </si>
  <si>
    <t>BARDO         50˚45'N    20˚59'E</t>
  </si>
  <si>
    <t>Present-day and low stability comps</t>
  </si>
  <si>
    <t>Kiaman(?)+ other linear segments</t>
  </si>
  <si>
    <t>Devonian-like directions</t>
  </si>
  <si>
    <t>CHRM and CHRM GC plane all tilt corrected</t>
  </si>
  <si>
    <t>location=</t>
  </si>
  <si>
    <t>Specimen</t>
  </si>
  <si>
    <t>NRM</t>
  </si>
  <si>
    <t>tvrm (strat)</t>
  </si>
  <si>
    <t>TVRM (geog)</t>
  </si>
  <si>
    <t>Strong (strat)</t>
  </si>
  <si>
    <t>Strong(Geog)</t>
  </si>
  <si>
    <t>Devon(strat)</t>
  </si>
  <si>
    <t>Dev. (Geog)</t>
  </si>
  <si>
    <t>ChRM - strat</t>
  </si>
  <si>
    <t>chrm (Geog)</t>
  </si>
  <si>
    <t>GC plane (strat)</t>
  </si>
  <si>
    <t>plane</t>
  </si>
  <si>
    <t>line</t>
  </si>
  <si>
    <t>GC- VGP</t>
  </si>
  <si>
    <t>Height (m)</t>
  </si>
  <si>
    <t>dip direction</t>
  </si>
  <si>
    <t>NRM*10^-6</t>
  </si>
  <si>
    <t>demagnetization procedure</t>
  </si>
  <si>
    <t>mA/m</t>
  </si>
  <si>
    <t>rho; etc</t>
  </si>
  <si>
    <t>hi stab PD</t>
  </si>
  <si>
    <t>what?</t>
  </si>
  <si>
    <t>Other=? Comp</t>
  </si>
  <si>
    <t>lat (s-class)</t>
  </si>
  <si>
    <t>Lat (t-class)</t>
  </si>
  <si>
    <t>T100+AF</t>
  </si>
  <si>
    <t>1to60</t>
  </si>
  <si>
    <t>Dev</t>
  </si>
  <si>
    <t>80-@</t>
  </si>
  <si>
    <t>1-@</t>
  </si>
  <si>
    <t>T200+AF</t>
  </si>
  <si>
    <t>1.7,br=6</t>
  </si>
  <si>
    <t>idev</t>
  </si>
  <si>
    <t>200-230</t>
  </si>
  <si>
    <t>0-230</t>
  </si>
  <si>
    <t>)</t>
  </si>
  <si>
    <t>z</t>
  </si>
  <si>
    <t>2.5,br=4</t>
  </si>
  <si>
    <t>200-210?</t>
  </si>
  <si>
    <t xml:space="preserve">R? </t>
  </si>
  <si>
    <t>ashgill above, Rhuddanian below- up until late Rhuddanian</t>
  </si>
  <si>
    <t>AF</t>
  </si>
  <si>
    <t>3,br=3</t>
  </si>
  <si>
    <t>0to10</t>
  </si>
  <si>
    <t>4to10?</t>
  </si>
  <si>
    <t>3-@</t>
  </si>
  <si>
    <t>T75+AF</t>
  </si>
  <si>
    <t>0to75</t>
  </si>
  <si>
    <t>110-@</t>
  </si>
  <si>
    <t>T200</t>
  </si>
  <si>
    <t>2,br=2</t>
  </si>
  <si>
    <t>oto1</t>
  </si>
  <si>
    <t>1to50</t>
  </si>
  <si>
    <t>70-@</t>
  </si>
  <si>
    <t>100-125</t>
  </si>
  <si>
    <t>125-@</t>
  </si>
  <si>
    <t>1to40</t>
  </si>
  <si>
    <t>75-230</t>
  </si>
  <si>
    <t>75-@</t>
  </si>
  <si>
    <t>215-350</t>
  </si>
  <si>
    <t>In</t>
  </si>
  <si>
    <t>210-@,100-150</t>
  </si>
  <si>
    <t>2.5,br=5</t>
  </si>
  <si>
    <t>125-175</t>
  </si>
  <si>
    <t>175-320</t>
  </si>
  <si>
    <t>str dev</t>
  </si>
  <si>
    <t>5to90</t>
  </si>
  <si>
    <t>needs thermal</t>
  </si>
  <si>
    <t>260-@</t>
  </si>
  <si>
    <t>200-240</t>
  </si>
  <si>
    <t>7.2</t>
  </si>
  <si>
    <t>4, br=4</t>
  </si>
  <si>
    <t>pl,r=1, poss dev</t>
  </si>
  <si>
    <t>10-@</t>
  </si>
  <si>
    <t>0-130</t>
  </si>
  <si>
    <t>1-100</t>
  </si>
  <si>
    <t>8A</t>
  </si>
  <si>
    <t>0-175</t>
  </si>
  <si>
    <t>pd at high af</t>
  </si>
  <si>
    <t>30-@</t>
  </si>
  <si>
    <t>K or tr to R?</t>
  </si>
  <si>
    <t>1to30</t>
  </si>
  <si>
    <t>9A</t>
  </si>
  <si>
    <t>40-@</t>
  </si>
  <si>
    <t>20-50</t>
  </si>
  <si>
    <t>PD at high af</t>
  </si>
  <si>
    <t>1to20</t>
  </si>
  <si>
    <t>50-@</t>
  </si>
  <si>
    <t>150-220</t>
  </si>
  <si>
    <t>ir</t>
  </si>
  <si>
    <t>K or tr to N??</t>
  </si>
  <si>
    <t>10A</t>
  </si>
  <si>
    <t>dev mid temp comp</t>
  </si>
  <si>
    <t>75-140</t>
  </si>
  <si>
    <t>160-@</t>
  </si>
  <si>
    <t>2,swts,br=4</t>
  </si>
  <si>
    <t>75-125</t>
  </si>
  <si>
    <t>14A</t>
  </si>
  <si>
    <t>60-@</t>
  </si>
  <si>
    <t>1to40?</t>
  </si>
  <si>
    <t>2.5,br=2</t>
  </si>
  <si>
    <t>125-205</t>
  </si>
  <si>
    <t>dev=high stab</t>
  </si>
  <si>
    <t>205-315</t>
  </si>
  <si>
    <t>0-30,40-150</t>
  </si>
  <si>
    <t>0-40</t>
  </si>
  <si>
    <t>4,br=6</t>
  </si>
  <si>
    <t>0to20</t>
  </si>
  <si>
    <t>20-90</t>
  </si>
  <si>
    <t>pl,r=5</t>
  </si>
  <si>
    <t>4,br=4,7</t>
  </si>
  <si>
    <t>0to2</t>
  </si>
  <si>
    <t>2to30</t>
  </si>
  <si>
    <t>30-90</t>
  </si>
  <si>
    <t>PD at high AF</t>
  </si>
  <si>
    <t>0to1</t>
  </si>
  <si>
    <t>260-280</t>
  </si>
  <si>
    <t>T250+AF</t>
  </si>
  <si>
    <t>175-310</t>
  </si>
  <si>
    <t>T175+AF</t>
  </si>
  <si>
    <t>175-220</t>
  </si>
  <si>
    <t>299-@</t>
  </si>
  <si>
    <t>PD only?</t>
  </si>
  <si>
    <t>10to30</t>
  </si>
  <si>
    <t>0to30</t>
  </si>
  <si>
    <t>1to2</t>
  </si>
  <si>
    <t>230-@</t>
  </si>
  <si>
    <t>175-210</t>
  </si>
  <si>
    <t>1to80</t>
  </si>
  <si>
    <t>5,swts,br=4</t>
  </si>
  <si>
    <t>305-320</t>
  </si>
  <si>
    <t>2-@</t>
  </si>
  <si>
    <t>t250+af</t>
  </si>
  <si>
    <t>330-360</t>
  </si>
  <si>
    <t>SAMPLES</t>
  </si>
  <si>
    <t>7.1</t>
  </si>
  <si>
    <t>10.1</t>
  </si>
  <si>
    <t>10.2</t>
  </si>
  <si>
    <t>nearest pt on GC plane</t>
  </si>
  <si>
    <t>Buttington Quarry mag sus</t>
  </si>
  <si>
    <t>measured</t>
  </si>
  <si>
    <t>Mass</t>
  </si>
  <si>
    <t>mass sp.</t>
  </si>
  <si>
    <t>susceptibility</t>
  </si>
  <si>
    <t>(g)</t>
  </si>
  <si>
    <t>x10-7 m3/kg</t>
  </si>
  <si>
    <t>grey</t>
  </si>
  <si>
    <t>dk grey sst</t>
  </si>
  <si>
    <t>bq1A</t>
  </si>
  <si>
    <t>dark blue/grey</t>
  </si>
  <si>
    <t>bq1B</t>
  </si>
  <si>
    <t>bq2A</t>
  </si>
  <si>
    <t>dth grey and red</t>
  </si>
  <si>
    <t>pink/grey</t>
  </si>
  <si>
    <t>bq2B</t>
  </si>
  <si>
    <t>bq3.1</t>
  </si>
  <si>
    <t>grey/green</t>
  </si>
  <si>
    <t>pale brown sst</t>
  </si>
  <si>
    <t>gry</t>
  </si>
  <si>
    <t>bq4A</t>
  </si>
  <si>
    <t>blue/grey</t>
  </si>
  <si>
    <t>bq4B</t>
  </si>
  <si>
    <t>green-grey</t>
  </si>
  <si>
    <t>green-grey sst</t>
  </si>
  <si>
    <t>bq5</t>
  </si>
  <si>
    <t>dark grey green</t>
  </si>
  <si>
    <t>pale grey</t>
  </si>
  <si>
    <t>bq6</t>
  </si>
  <si>
    <t xml:space="preserve"> pale grey</t>
  </si>
  <si>
    <t>pale gray sst</t>
  </si>
  <si>
    <t>lam grey sst</t>
  </si>
  <si>
    <t>bq8A</t>
  </si>
  <si>
    <t>layered D+L</t>
  </si>
  <si>
    <t>bq8B</t>
  </si>
  <si>
    <t>grey veined</t>
  </si>
  <si>
    <t>grey, veined sst</t>
  </si>
  <si>
    <t>bq10A</t>
  </si>
  <si>
    <t>bq10B</t>
  </si>
  <si>
    <t>bq11A</t>
  </si>
  <si>
    <t>bq11B</t>
  </si>
  <si>
    <t>blue/green</t>
  </si>
  <si>
    <t>pale grey sst</t>
  </si>
  <si>
    <t>bq12</t>
  </si>
  <si>
    <t>bq13A</t>
  </si>
  <si>
    <t>dark green (blue)</t>
  </si>
  <si>
    <t>bq13B</t>
  </si>
  <si>
    <t>bq14A</t>
  </si>
  <si>
    <t>bq14B</t>
  </si>
  <si>
    <t>pale grey-orange sst</t>
  </si>
  <si>
    <t>bq15A</t>
  </si>
  <si>
    <t>I. green</t>
  </si>
  <si>
    <t>bq15B</t>
  </si>
  <si>
    <t>dark grey</t>
  </si>
  <si>
    <t>dk grey</t>
  </si>
  <si>
    <t>bq16A</t>
  </si>
  <si>
    <t>green</t>
  </si>
  <si>
    <t>bq16B</t>
  </si>
  <si>
    <t>dk grey, lam</t>
  </si>
  <si>
    <t>dk grey, laminated</t>
  </si>
  <si>
    <t>bq17A</t>
  </si>
  <si>
    <t>very dark grey</t>
  </si>
  <si>
    <t>bq17B</t>
  </si>
  <si>
    <t>bq18A</t>
  </si>
  <si>
    <t>bq18B</t>
  </si>
  <si>
    <t>bq19.1</t>
  </si>
  <si>
    <t>lay-rd Ltd grey</t>
  </si>
  <si>
    <t>pale grey, lam sst</t>
  </si>
  <si>
    <t>bq19.2</t>
  </si>
  <si>
    <t>bq20.2</t>
  </si>
  <si>
    <t>dk grey, laminated sst</t>
  </si>
  <si>
    <t>bq20.3</t>
  </si>
  <si>
    <t xml:space="preserve">dk grey </t>
  </si>
  <si>
    <t>bq21</t>
  </si>
  <si>
    <t>bq22.1</t>
  </si>
  <si>
    <t>light grey</t>
  </si>
  <si>
    <t>bq23</t>
  </si>
  <si>
    <t>light grey/blue</t>
  </si>
  <si>
    <t>bq25.1</t>
  </si>
  <si>
    <t>bq25.2</t>
  </si>
  <si>
    <t>bq26.1</t>
  </si>
  <si>
    <t>bq26.3</t>
  </si>
  <si>
    <t>bq27A</t>
  </si>
  <si>
    <t>bq27B</t>
  </si>
  <si>
    <t>bq28.2</t>
  </si>
  <si>
    <t>bq28.3</t>
  </si>
  <si>
    <t>purple</t>
  </si>
  <si>
    <t>bq30A</t>
  </si>
  <si>
    <t>bq30B</t>
  </si>
  <si>
    <t>bq29.1</t>
  </si>
  <si>
    <t>dark grey blue</t>
  </si>
  <si>
    <t>bq29.3</t>
  </si>
  <si>
    <t>dk grey green</t>
  </si>
  <si>
    <t>bq31A</t>
  </si>
  <si>
    <t>dk grey-green</t>
  </si>
  <si>
    <t>bq31B</t>
  </si>
  <si>
    <t>bq32.1</t>
  </si>
  <si>
    <t>bq33.1</t>
  </si>
  <si>
    <t>grey/blue</t>
  </si>
  <si>
    <t>bq33.2</t>
  </si>
  <si>
    <t>bq34A</t>
  </si>
  <si>
    <t>bq34B</t>
  </si>
  <si>
    <t>bq35.1</t>
  </si>
  <si>
    <t>bq35.2</t>
  </si>
  <si>
    <t>grey??</t>
  </si>
  <si>
    <t>bq40.1</t>
  </si>
  <si>
    <t>similar to bq41.2, slightly blue</t>
  </si>
  <si>
    <t>bq40.2</t>
  </si>
  <si>
    <t>paler (than bq41.2) slate grey</t>
  </si>
  <si>
    <t>bq41.1</t>
  </si>
  <si>
    <t>bq41.2</t>
  </si>
  <si>
    <t>slate grey</t>
  </si>
  <si>
    <t>bq36.1</t>
  </si>
  <si>
    <t>1/2 red, green</t>
  </si>
  <si>
    <t>bq42.2</t>
  </si>
  <si>
    <t>blue grey</t>
  </si>
  <si>
    <t>bq42.3</t>
  </si>
  <si>
    <t>bq43.1</t>
  </si>
  <si>
    <t>bq43.2</t>
  </si>
  <si>
    <t>bq38.2</t>
  </si>
  <si>
    <t>slate/blue grey</t>
  </si>
  <si>
    <t>bq38.3</t>
  </si>
  <si>
    <t>bq44.2</t>
  </si>
  <si>
    <t>bq45.2</t>
  </si>
  <si>
    <t>bq46.1</t>
  </si>
  <si>
    <t>purple/red</t>
  </si>
  <si>
    <t>bq47.2</t>
  </si>
  <si>
    <t>bq50.1</t>
  </si>
  <si>
    <t>bq64.1</t>
  </si>
  <si>
    <t>brown</t>
  </si>
  <si>
    <t>bq65.2</t>
  </si>
  <si>
    <t>bq65.3</t>
  </si>
  <si>
    <t>bq62.2</t>
  </si>
  <si>
    <t>dark green</t>
  </si>
  <si>
    <t>bq62.3</t>
  </si>
  <si>
    <t>bq63.2</t>
  </si>
  <si>
    <t>black-green</t>
  </si>
  <si>
    <t>bq63.3</t>
  </si>
  <si>
    <t>bq67.1</t>
  </si>
  <si>
    <t>bq69.1</t>
  </si>
  <si>
    <t>black/brown</t>
  </si>
  <si>
    <t>pale sst</t>
  </si>
  <si>
    <t>bq69.2</t>
  </si>
  <si>
    <t>bq70.1</t>
  </si>
  <si>
    <t>bq70.2</t>
  </si>
  <si>
    <t>bq71.1</t>
  </si>
  <si>
    <t>bq71.2</t>
  </si>
  <si>
    <t>bq72.2</t>
  </si>
  <si>
    <t>bq72.3</t>
  </si>
  <si>
    <t>light brown</t>
  </si>
  <si>
    <t>pale green-grey</t>
  </si>
  <si>
    <t>bq73.2</t>
  </si>
  <si>
    <t>bq74.2</t>
  </si>
  <si>
    <t>grey/brown</t>
  </si>
  <si>
    <t>bq74.3</t>
  </si>
  <si>
    <t>bq75.3</t>
  </si>
  <si>
    <t>bq76.2</t>
  </si>
  <si>
    <t>bq77.5</t>
  </si>
  <si>
    <t>bq78.1</t>
  </si>
  <si>
    <t>light grey/red</t>
  </si>
  <si>
    <t>bq78.3</t>
  </si>
  <si>
    <t>bq79</t>
  </si>
  <si>
    <t>bq80.1</t>
  </si>
  <si>
    <t>yellow/grey</t>
  </si>
  <si>
    <t>bq80.2</t>
  </si>
  <si>
    <t>yellow/blue/grey</t>
  </si>
  <si>
    <t>bq81</t>
  </si>
  <si>
    <t>bq82.1</t>
  </si>
  <si>
    <t>bq81.1</t>
  </si>
  <si>
    <t>grey/green white vein</t>
  </si>
  <si>
    <t>bq81.2</t>
  </si>
  <si>
    <t>light grey/green</t>
  </si>
  <si>
    <t>bq83.1</t>
  </si>
  <si>
    <t>dk grey+pale grey- one mislabllede??</t>
  </si>
  <si>
    <t>bq83.2</t>
  </si>
  <si>
    <t>bq84.1</t>
  </si>
  <si>
    <t>dark + light grey</t>
  </si>
  <si>
    <t>bq84.2</t>
  </si>
  <si>
    <t>bq85.1</t>
  </si>
  <si>
    <t>light grey/purple</t>
  </si>
  <si>
    <t>bq85.2</t>
  </si>
  <si>
    <t>dark grey/purple</t>
  </si>
  <si>
    <t>bq86.1a</t>
  </si>
  <si>
    <t>bq86.1b</t>
  </si>
  <si>
    <t>bq87.1</t>
  </si>
  <si>
    <t>bq87.2</t>
  </si>
  <si>
    <t>bq88.2</t>
  </si>
  <si>
    <t>grey to pale grey</t>
  </si>
  <si>
    <t>bq88.3</t>
  </si>
  <si>
    <t>bq89.1</t>
  </si>
  <si>
    <t>bq89.2</t>
  </si>
  <si>
    <t>bq90.2</t>
  </si>
  <si>
    <t>bq90.3</t>
  </si>
  <si>
    <t>bq91.1</t>
  </si>
  <si>
    <t>bq91.3</t>
  </si>
  <si>
    <t>bq94.1</t>
  </si>
  <si>
    <t>bq94.2</t>
  </si>
  <si>
    <t>bq95.1</t>
  </si>
  <si>
    <t>bq95.3</t>
  </si>
  <si>
    <t>bq96.1</t>
  </si>
  <si>
    <t>dark grey/green</t>
  </si>
  <si>
    <t>bq96.2</t>
  </si>
  <si>
    <t>darker grey/green</t>
  </si>
  <si>
    <t>bq98.1</t>
  </si>
  <si>
    <t>bq98.2</t>
  </si>
  <si>
    <t>BARDO-STAWY</t>
  </si>
  <si>
    <t>Samples</t>
  </si>
  <si>
    <t>Weight</t>
  </si>
  <si>
    <t>MS/10g</t>
  </si>
  <si>
    <t xml:space="preserve">BARDO-STAWY </t>
  </si>
  <si>
    <t>TOTAL</t>
  </si>
  <si>
    <t>K [%]</t>
  </si>
  <si>
    <t>U [ppm]</t>
  </si>
  <si>
    <t>Th [ppm]</t>
  </si>
  <si>
    <t>BACKGROUND</t>
  </si>
  <si>
    <t>17b</t>
  </si>
  <si>
    <t>Backside Beck Magsus summary datasheet</t>
  </si>
  <si>
    <t>Isotope samples (1- 111)</t>
  </si>
  <si>
    <t>BB pmag samples</t>
  </si>
  <si>
    <t>Ashgill calibration samples</t>
  </si>
  <si>
    <t>Field-logger-probe</t>
  </si>
  <si>
    <t>New composite</t>
  </si>
  <si>
    <t>Chemostr. Samp. No</t>
  </si>
  <si>
    <t>Ht (m) on  log</t>
  </si>
  <si>
    <r>
      <rPr>
        <sz val="11"/>
        <color theme="1"/>
        <rFont val="Symbol"/>
        <family val="1"/>
        <charset val="2"/>
      </rPr>
      <t>c</t>
    </r>
    <r>
      <rPr>
        <sz val="11"/>
        <color theme="1"/>
        <rFont val="Calibri"/>
        <family val="2"/>
        <scheme val="minor"/>
      </rPr>
      <t>LF (10</t>
    </r>
    <r>
      <rPr>
        <vertAlign val="superscript"/>
        <sz val="11"/>
        <color theme="1"/>
        <rFont val="Calibri"/>
        <family val="2"/>
        <scheme val="minor"/>
      </rPr>
      <t>-7</t>
    </r>
    <r>
      <rPr>
        <sz val="11"/>
        <color theme="1"/>
        <rFont val="Calibri"/>
        <family val="2"/>
        <scheme val="minor"/>
      </rPr>
      <t xml:space="preserve"> 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/Kg)</t>
    </r>
  </si>
  <si>
    <t>Samp. No</t>
  </si>
  <si>
    <t>NRM Intensity mA/m</t>
  </si>
  <si>
    <t>Transect/position</t>
  </si>
  <si>
    <t>strat height (base of)</t>
  </si>
  <si>
    <t>tr1_0</t>
  </si>
  <si>
    <t>Top Dixon Ground Mbr= 233.3m</t>
  </si>
  <si>
    <t>Biozone positions</t>
  </si>
  <si>
    <t>tr1_20</t>
  </si>
  <si>
    <t>base Dixon ground Mbr=215.5m</t>
  </si>
  <si>
    <t>Base Ht on 'long' Strat Log (m)</t>
  </si>
  <si>
    <t>Base Ht on 'short' strat log</t>
  </si>
  <si>
    <t>tr1_40</t>
  </si>
  <si>
    <t>base Far House Mbr=207.9</t>
  </si>
  <si>
    <t>centrifugus</t>
  </si>
  <si>
    <t>tr1_60</t>
  </si>
  <si>
    <t>Base Hebblewaite Mbr= 160.0m</t>
  </si>
  <si>
    <t>crenulata</t>
  </si>
  <si>
    <t>BB2.1</t>
  </si>
  <si>
    <t>tr1_80</t>
  </si>
  <si>
    <t>Base Browgill Fm=109.7m</t>
  </si>
  <si>
    <t>greistonensis</t>
  </si>
  <si>
    <t>BB2.2</t>
  </si>
  <si>
    <t>tr1_100</t>
  </si>
  <si>
    <t>Base Skelgill Fm=75.5</t>
  </si>
  <si>
    <t>crispus</t>
  </si>
  <si>
    <t>BB2.3</t>
  </si>
  <si>
    <t>tr1_120</t>
  </si>
  <si>
    <t>Base Spengill Mbr=74.5m</t>
  </si>
  <si>
    <t>turriculatus</t>
  </si>
  <si>
    <t>BB3.1</t>
  </si>
  <si>
    <t>tr1_140</t>
  </si>
  <si>
    <t>Hirnantian Sandstone top at 62.2m (-12.2m below base of Spengill mbr)</t>
  </si>
  <si>
    <t>maximus</t>
  </si>
  <si>
    <t>BB3.2</t>
  </si>
  <si>
    <t>tr1_160</t>
  </si>
  <si>
    <t>Hirnantian Sandstone base at 61.5m (-12.9m below base of Spengill mbr)</t>
  </si>
  <si>
    <t>sedwickii</t>
  </si>
  <si>
    <t>BB4.1</t>
  </si>
  <si>
    <t>tr1_180</t>
  </si>
  <si>
    <t>Cystoid Lmst top at -33.9m (-108.3 m below base of Spengill Mbr)</t>
  </si>
  <si>
    <t>convolutus</t>
  </si>
  <si>
    <t>BB4.2</t>
  </si>
  <si>
    <t>tr1_200</t>
  </si>
  <si>
    <t>Porphry base at -6.6m (-81m below base of Spengill mbr)</t>
  </si>
  <si>
    <t>magnus</t>
  </si>
  <si>
    <t>BB4.3</t>
  </si>
  <si>
    <t>tr1_220</t>
  </si>
  <si>
    <t>triangularis</t>
  </si>
  <si>
    <t>BB5.1</t>
  </si>
  <si>
    <t>tr1_240</t>
  </si>
  <si>
    <t>cyphus</t>
  </si>
  <si>
    <t>BB5.2</t>
  </si>
  <si>
    <t>tr1_260</t>
  </si>
  <si>
    <t>acinaces</t>
  </si>
  <si>
    <t>BB5.3</t>
  </si>
  <si>
    <t>tr1_280</t>
  </si>
  <si>
    <t>atavus</t>
  </si>
  <si>
    <t>tr1_300</t>
  </si>
  <si>
    <t>acuminatus</t>
  </si>
  <si>
    <t>tr1_320</t>
  </si>
  <si>
    <t>tr1_380</t>
  </si>
  <si>
    <t>tr1_400</t>
  </si>
  <si>
    <t>BB7.1</t>
  </si>
  <si>
    <t>tr1_420</t>
  </si>
  <si>
    <t>BB7.2</t>
  </si>
  <si>
    <t>tr1_440</t>
  </si>
  <si>
    <t>BB7.3</t>
  </si>
  <si>
    <t>tr1_460</t>
  </si>
  <si>
    <t>BB8.1</t>
  </si>
  <si>
    <t>tr1_480</t>
  </si>
  <si>
    <t>BB8.2</t>
  </si>
  <si>
    <t>tr1_500</t>
  </si>
  <si>
    <t>BB8.3</t>
  </si>
  <si>
    <t>tr1_520</t>
  </si>
  <si>
    <t>BB9.1</t>
  </si>
  <si>
    <t>tr1_540</t>
  </si>
  <si>
    <t>BB9.2</t>
  </si>
  <si>
    <t>tr1_680</t>
  </si>
  <si>
    <t>BB9.3</t>
  </si>
  <si>
    <t>tr1_700</t>
  </si>
  <si>
    <t>BB9_4</t>
  </si>
  <si>
    <t>tr1_720</t>
  </si>
  <si>
    <t>BB10.1</t>
  </si>
  <si>
    <t>tr2_20</t>
  </si>
  <si>
    <t>BB10.2</t>
  </si>
  <si>
    <t>tr2_40</t>
  </si>
  <si>
    <t>BB10.3</t>
  </si>
  <si>
    <t>tr2_60</t>
  </si>
  <si>
    <t>BB10_4</t>
  </si>
  <si>
    <t>tr2_80</t>
  </si>
  <si>
    <t>BB11.1</t>
  </si>
  <si>
    <t>tr2_100</t>
  </si>
  <si>
    <t>BB11.2</t>
  </si>
  <si>
    <t>tr2_140</t>
  </si>
  <si>
    <t>BB11.3</t>
  </si>
  <si>
    <t>tr2_160</t>
  </si>
  <si>
    <t>BB11_4</t>
  </si>
  <si>
    <t>tr2_180</t>
  </si>
  <si>
    <t>tr2_200</t>
  </si>
  <si>
    <t>tr2_220</t>
  </si>
  <si>
    <t>tr2_240</t>
  </si>
  <si>
    <t>BB13.1</t>
  </si>
  <si>
    <t>tr2_260</t>
  </si>
  <si>
    <t>BB13.2</t>
  </si>
  <si>
    <t>300a</t>
  </si>
  <si>
    <t>tr2_280</t>
  </si>
  <si>
    <t>BB13.3</t>
  </si>
  <si>
    <t>300b</t>
  </si>
  <si>
    <t>tr2_300</t>
  </si>
  <si>
    <t>BB13_4</t>
  </si>
  <si>
    <t>301a</t>
  </si>
  <si>
    <t>tr2_320</t>
  </si>
  <si>
    <t>301b</t>
  </si>
  <si>
    <t>tr2_340</t>
  </si>
  <si>
    <t>302a</t>
  </si>
  <si>
    <t>tr2_360</t>
  </si>
  <si>
    <t>302b</t>
  </si>
  <si>
    <t>tr2_380</t>
  </si>
  <si>
    <t>303a</t>
  </si>
  <si>
    <t>tr2_400</t>
  </si>
  <si>
    <t>303b</t>
  </si>
  <si>
    <t>tr2_420</t>
  </si>
  <si>
    <t>304a</t>
  </si>
  <si>
    <t>tr2_440</t>
  </si>
  <si>
    <t>304b</t>
  </si>
  <si>
    <t>tr3_0</t>
  </si>
  <si>
    <t>305a</t>
  </si>
  <si>
    <t>tr3_20</t>
  </si>
  <si>
    <t>306a</t>
  </si>
  <si>
    <t>tr3_40</t>
  </si>
  <si>
    <t>306b</t>
  </si>
  <si>
    <t>tr3_60</t>
  </si>
  <si>
    <t>307a</t>
  </si>
  <si>
    <t>tr3_80</t>
  </si>
  <si>
    <t>307b</t>
  </si>
  <si>
    <t>tr3_100</t>
  </si>
  <si>
    <t>308a</t>
  </si>
  <si>
    <t>tr3_120</t>
  </si>
  <si>
    <t>308b</t>
  </si>
  <si>
    <t>tr3_140</t>
  </si>
  <si>
    <t>BB18.1</t>
  </si>
  <si>
    <t>309a</t>
  </si>
  <si>
    <t>tr3_150</t>
  </si>
  <si>
    <t>BB18.2</t>
  </si>
  <si>
    <t>309b</t>
  </si>
  <si>
    <t>tr3_160</t>
  </si>
  <si>
    <t>BB18_3</t>
  </si>
  <si>
    <t>310a</t>
  </si>
  <si>
    <t>tr3_180</t>
  </si>
  <si>
    <t>BB19.1</t>
  </si>
  <si>
    <t>310b</t>
  </si>
  <si>
    <t>tr3_200</t>
  </si>
  <si>
    <t>BB19.2</t>
  </si>
  <si>
    <t>311a</t>
  </si>
  <si>
    <t>tr3_220</t>
  </si>
  <si>
    <t>BB19.3</t>
  </si>
  <si>
    <t>311b</t>
  </si>
  <si>
    <t>tr3_240</t>
  </si>
  <si>
    <t>BB19_4</t>
  </si>
  <si>
    <t>312a</t>
  </si>
  <si>
    <t>tr3_260</t>
  </si>
  <si>
    <t>BB20.1</t>
  </si>
  <si>
    <t>312b</t>
  </si>
  <si>
    <t>tr3_280</t>
  </si>
  <si>
    <t>BB20.2</t>
  </si>
  <si>
    <t>313a</t>
  </si>
  <si>
    <t>tr3_300</t>
  </si>
  <si>
    <t>BB20.3</t>
  </si>
  <si>
    <t>313b</t>
  </si>
  <si>
    <t>tr3_320</t>
  </si>
  <si>
    <t>BB20_4</t>
  </si>
  <si>
    <t>314a</t>
  </si>
  <si>
    <t>tr3_340</t>
  </si>
  <si>
    <t>314b</t>
  </si>
  <si>
    <t>tr3_360</t>
  </si>
  <si>
    <t>tr3_380</t>
  </si>
  <si>
    <t>BB30.1</t>
  </si>
  <si>
    <t>tr3_400</t>
  </si>
  <si>
    <t>BB30.2</t>
  </si>
  <si>
    <t>tr3_420</t>
  </si>
  <si>
    <t>BB30_3</t>
  </si>
  <si>
    <t>tr3_440</t>
  </si>
  <si>
    <t>BB30_4</t>
  </si>
  <si>
    <t>tr3_460</t>
  </si>
  <si>
    <t>BB31.1</t>
  </si>
  <si>
    <t>tr3_480</t>
  </si>
  <si>
    <t>BB31.2</t>
  </si>
  <si>
    <t>tr3_500</t>
  </si>
  <si>
    <t>BB31_3</t>
  </si>
  <si>
    <t>tr3_520</t>
  </si>
  <si>
    <t>BB31_4</t>
  </si>
  <si>
    <t>tr3_540</t>
  </si>
  <si>
    <t>BB32.1</t>
  </si>
  <si>
    <t>tr3_560</t>
  </si>
  <si>
    <t>BB32.2</t>
  </si>
  <si>
    <t>tr3_580</t>
  </si>
  <si>
    <t>BB32_3</t>
  </si>
  <si>
    <t>tr3_600</t>
  </si>
  <si>
    <t>BB32_4</t>
  </si>
  <si>
    <t>tr3_620</t>
  </si>
  <si>
    <t>tr3_640</t>
  </si>
  <si>
    <t>tr3_660</t>
  </si>
  <si>
    <t>tr3_680</t>
  </si>
  <si>
    <t>tr3_700</t>
  </si>
  <si>
    <t>BB34.1</t>
  </si>
  <si>
    <t>tr3_720</t>
  </si>
  <si>
    <t>BB34.2</t>
  </si>
  <si>
    <t>tr3_740</t>
  </si>
  <si>
    <t>BB34_3</t>
  </si>
  <si>
    <t>tr3_760</t>
  </si>
  <si>
    <t>BB35.1</t>
  </si>
  <si>
    <t>tr3_780</t>
  </si>
  <si>
    <t>BB35.2</t>
  </si>
  <si>
    <t>tr3_800</t>
  </si>
  <si>
    <t>BB35_3</t>
  </si>
  <si>
    <t>tr3_820</t>
  </si>
  <si>
    <t>BB35_4</t>
  </si>
  <si>
    <t>tr3_840</t>
  </si>
  <si>
    <t>BB36.1</t>
  </si>
  <si>
    <t>tr3_860</t>
  </si>
  <si>
    <t>BB36.2</t>
  </si>
  <si>
    <t>tr3_880</t>
  </si>
  <si>
    <t>BB36_3</t>
  </si>
  <si>
    <t>tr3_900</t>
  </si>
  <si>
    <t>BB37.1</t>
  </si>
  <si>
    <t>tr3_920</t>
  </si>
  <si>
    <t>BB37.2</t>
  </si>
  <si>
    <t>tr3_940</t>
  </si>
  <si>
    <t>BB37_3</t>
  </si>
  <si>
    <t>tr4_0</t>
  </si>
  <si>
    <t>BB37_4</t>
  </si>
  <si>
    <t>tr4_40</t>
  </si>
  <si>
    <t>BB37_5</t>
  </si>
  <si>
    <t>tr4_80</t>
  </si>
  <si>
    <t>BB38.1</t>
  </si>
  <si>
    <t>tr4_120</t>
  </si>
  <si>
    <t>BB38.2</t>
  </si>
  <si>
    <t>tr4_160</t>
  </si>
  <si>
    <t>BB38_3</t>
  </si>
  <si>
    <t>tr4_320</t>
  </si>
  <si>
    <t>BB38_4</t>
  </si>
  <si>
    <t>tr4_360</t>
  </si>
  <si>
    <t>tr4_400</t>
  </si>
  <si>
    <t>tr4_440</t>
  </si>
  <si>
    <t>tr4_480</t>
  </si>
  <si>
    <t>tr4_520</t>
  </si>
  <si>
    <t>BB40.1</t>
  </si>
  <si>
    <t>tr4_560</t>
  </si>
  <si>
    <t>BB40.2</t>
  </si>
  <si>
    <t>tr4_600</t>
  </si>
  <si>
    <t>tr4_640</t>
  </si>
  <si>
    <t>tr4_680</t>
  </si>
  <si>
    <t>tr4_720</t>
  </si>
  <si>
    <t>BB42.1</t>
  </si>
  <si>
    <t>tr4_760</t>
  </si>
  <si>
    <t>BB42.2</t>
  </si>
  <si>
    <t>tr4_800</t>
  </si>
  <si>
    <t>BB42_3</t>
  </si>
  <si>
    <t>tr4_840</t>
  </si>
  <si>
    <t>BB42_4</t>
  </si>
  <si>
    <t>tr4_880</t>
  </si>
  <si>
    <t>BB43.1</t>
  </si>
  <si>
    <t>tr4_920</t>
  </si>
  <si>
    <t>BB43.2</t>
  </si>
  <si>
    <t>tr5_150</t>
  </si>
  <si>
    <t>BB43_3</t>
  </si>
  <si>
    <t>tr5_250</t>
  </si>
  <si>
    <t>BB43_4</t>
  </si>
  <si>
    <t>BB44.1</t>
  </si>
  <si>
    <t>tr5_450</t>
  </si>
  <si>
    <t>BB44.2</t>
  </si>
  <si>
    <t>tr5_530</t>
  </si>
  <si>
    <t>BB44.3</t>
  </si>
  <si>
    <t>tr5_730</t>
  </si>
  <si>
    <t>BB44_4</t>
  </si>
  <si>
    <t>tr5_930</t>
  </si>
  <si>
    <t>tr5_1130</t>
  </si>
  <si>
    <t>tr5_1630</t>
  </si>
  <si>
    <t>tr6_0</t>
  </si>
  <si>
    <t>tr6_20</t>
  </si>
  <si>
    <t>tr6_40</t>
  </si>
  <si>
    <t>tr6_60</t>
  </si>
  <si>
    <t>tr6_80</t>
  </si>
  <si>
    <t>tr6_100</t>
  </si>
  <si>
    <t>BB47.1</t>
  </si>
  <si>
    <t>tr6_120</t>
  </si>
  <si>
    <t>BB47.2</t>
  </si>
  <si>
    <t>tr6_140</t>
  </si>
  <si>
    <t>BB47_3</t>
  </si>
  <si>
    <t>tr6_160</t>
  </si>
  <si>
    <t>BB48.1</t>
  </si>
  <si>
    <t>tr6_180</t>
  </si>
  <si>
    <t>BB48.2</t>
  </si>
  <si>
    <t>tr6_200</t>
  </si>
  <si>
    <t>BB48_3</t>
  </si>
  <si>
    <t>tr6_220</t>
  </si>
  <si>
    <t>BB49.1</t>
  </si>
  <si>
    <t>tr6_240</t>
  </si>
  <si>
    <t>BB49.2</t>
  </si>
  <si>
    <t>tr6_260</t>
  </si>
  <si>
    <t>BB49_3</t>
  </si>
  <si>
    <t>tr6_280</t>
  </si>
  <si>
    <t>BB50.1</t>
  </si>
  <si>
    <t>tr6_300</t>
  </si>
  <si>
    <t>BB50.2</t>
  </si>
  <si>
    <t>tr6_320</t>
  </si>
  <si>
    <t>BB50_3</t>
  </si>
  <si>
    <t>tr6_340</t>
  </si>
  <si>
    <t>BB51.1</t>
  </si>
  <si>
    <t>tr6_360</t>
  </si>
  <si>
    <t>BB51.2</t>
  </si>
  <si>
    <t>tr6_380</t>
  </si>
  <si>
    <t>BB51_3</t>
  </si>
  <si>
    <t>tr6_760</t>
  </si>
  <si>
    <t>BB51_4</t>
  </si>
  <si>
    <t>tr6_780</t>
  </si>
  <si>
    <t>BB52.1</t>
  </si>
  <si>
    <t>tr6_800</t>
  </si>
  <si>
    <t>BB52.2</t>
  </si>
  <si>
    <t>tr6_820</t>
  </si>
  <si>
    <t>BB53.1</t>
  </si>
  <si>
    <t>tr6_840</t>
  </si>
  <si>
    <t>BB53.2</t>
  </si>
  <si>
    <t>tr6_860</t>
  </si>
  <si>
    <t>BB53_3</t>
  </si>
  <si>
    <t>tr6_880</t>
  </si>
  <si>
    <t>BB54.1</t>
  </si>
  <si>
    <t>tr6_900</t>
  </si>
  <si>
    <t>BB54.2</t>
  </si>
  <si>
    <t>tr6_920</t>
  </si>
  <si>
    <t>BB54_3</t>
  </si>
  <si>
    <t>tr6_940</t>
  </si>
  <si>
    <t>BB55.1</t>
  </si>
  <si>
    <t>tr6_960</t>
  </si>
  <si>
    <t>BB55.2</t>
  </si>
  <si>
    <t>tr6_980</t>
  </si>
  <si>
    <t>BB55_3</t>
  </si>
  <si>
    <t>tr6_1000</t>
  </si>
  <si>
    <t>BB56.1</t>
  </si>
  <si>
    <t>tr6_1020</t>
  </si>
  <si>
    <t>BB56.2</t>
  </si>
  <si>
    <t>tr6_1040</t>
  </si>
  <si>
    <t>BB56_3</t>
  </si>
  <si>
    <t>tr6_1060</t>
  </si>
  <si>
    <t>BB57.1</t>
  </si>
  <si>
    <t>tr6_1080</t>
  </si>
  <si>
    <t>BB57.2</t>
  </si>
  <si>
    <t>tr6_1100</t>
  </si>
  <si>
    <t>BB57_3</t>
  </si>
  <si>
    <t>tr6_1120</t>
  </si>
  <si>
    <t>BB60.1</t>
  </si>
  <si>
    <t>tr6_1140</t>
  </si>
  <si>
    <t>BB60.2</t>
  </si>
  <si>
    <t>tr6_1160</t>
  </si>
  <si>
    <t>BB60_3</t>
  </si>
  <si>
    <t>tr6_1180</t>
  </si>
  <si>
    <t>tr7_0</t>
  </si>
  <si>
    <t>tr7_20</t>
  </si>
  <si>
    <t>tr7_120</t>
  </si>
  <si>
    <t>tr7_140</t>
  </si>
  <si>
    <t>tr7_160</t>
  </si>
  <si>
    <t>tr7_180</t>
  </si>
  <si>
    <t>tr7_200</t>
  </si>
  <si>
    <t>tr7_220</t>
  </si>
  <si>
    <t>BB63.1</t>
  </si>
  <si>
    <t>tr7_240</t>
  </si>
  <si>
    <t>BB63.2</t>
  </si>
  <si>
    <t>tr7_260</t>
  </si>
  <si>
    <t>BB63_3</t>
  </si>
  <si>
    <t>tr7_280</t>
  </si>
  <si>
    <t>BB64.1</t>
  </si>
  <si>
    <t>tr7_300</t>
  </si>
  <si>
    <t>BB64.2</t>
  </si>
  <si>
    <t>tr7_320</t>
  </si>
  <si>
    <t>BB64_3</t>
  </si>
  <si>
    <t>tr7_340</t>
  </si>
  <si>
    <t>tr7_360</t>
  </si>
  <si>
    <t>tr7_380</t>
  </si>
  <si>
    <t>tr7_400</t>
  </si>
  <si>
    <t>tr7_420</t>
  </si>
  <si>
    <t>tr7_440</t>
  </si>
  <si>
    <t>tr7_460</t>
  </si>
  <si>
    <t>tr7_480</t>
  </si>
  <si>
    <t>tr7_500</t>
  </si>
  <si>
    <t>tr7_520</t>
  </si>
  <si>
    <t>tr7_540</t>
  </si>
  <si>
    <t>tr7_560</t>
  </si>
  <si>
    <t>tr7_580</t>
  </si>
  <si>
    <t>tr7_600</t>
  </si>
  <si>
    <t>tr7_620</t>
  </si>
  <si>
    <t>tr7_640</t>
  </si>
  <si>
    <t>tr7_660</t>
  </si>
  <si>
    <t>tr7_680</t>
  </si>
  <si>
    <t>tr7_700</t>
  </si>
  <si>
    <t>tr7_720</t>
  </si>
  <si>
    <t>tr7_740</t>
  </si>
  <si>
    <t>tr7_760</t>
  </si>
  <si>
    <t>tr7_780</t>
  </si>
  <si>
    <t>tr7_800</t>
  </si>
  <si>
    <t>tr7_820</t>
  </si>
  <si>
    <t>tr7_840</t>
  </si>
  <si>
    <t>tr7_900</t>
  </si>
  <si>
    <t>tr7_920</t>
  </si>
  <si>
    <t>tr7_940</t>
  </si>
  <si>
    <t>tr7_960</t>
  </si>
  <si>
    <t>tr7_980</t>
  </si>
  <si>
    <t>tr7_1000</t>
  </si>
  <si>
    <t>tr7_1020</t>
  </si>
  <si>
    <t>tr7_1040</t>
  </si>
  <si>
    <t>tr7_1060</t>
  </si>
  <si>
    <t>tr7_1080</t>
  </si>
  <si>
    <t>tr7_1100</t>
  </si>
  <si>
    <t>tr7_1120</t>
  </si>
  <si>
    <t>tr7_1140</t>
  </si>
  <si>
    <t>tr7_1160</t>
  </si>
  <si>
    <t>tr7_1180</t>
  </si>
  <si>
    <t>tr7_1200</t>
  </si>
  <si>
    <t>tr7_1220</t>
  </si>
  <si>
    <t>tr7_1240</t>
  </si>
  <si>
    <t>tr7_1260</t>
  </si>
  <si>
    <t>tr7_1280</t>
  </si>
  <si>
    <t>tr7_1300</t>
  </si>
  <si>
    <t>tr7_1320</t>
  </si>
  <si>
    <t>tr7_1340</t>
  </si>
  <si>
    <t>tr7_1360</t>
  </si>
  <si>
    <t>tr7_1380</t>
  </si>
  <si>
    <t>tr7_1400</t>
  </si>
  <si>
    <t>tr7_1420</t>
  </si>
  <si>
    <t>tr7_1440</t>
  </si>
  <si>
    <t>tr7_1460</t>
  </si>
  <si>
    <t>tr8_0</t>
  </si>
  <si>
    <t>tr8_40</t>
  </si>
  <si>
    <t>tr8_80</t>
  </si>
  <si>
    <t>tr8_120</t>
  </si>
  <si>
    <t>tr8_160</t>
  </si>
  <si>
    <t>tr8_200</t>
  </si>
  <si>
    <t>tr8_240</t>
  </si>
  <si>
    <t>tr8_280</t>
  </si>
  <si>
    <t>tr8_320</t>
  </si>
  <si>
    <t>tr8_360</t>
  </si>
  <si>
    <t>tr8_400</t>
  </si>
  <si>
    <t>tr8_440</t>
  </si>
  <si>
    <t>tr8_480</t>
  </si>
  <si>
    <t>tr8_520</t>
  </si>
  <si>
    <t>tr8_560</t>
  </si>
  <si>
    <t>tr8_600</t>
  </si>
  <si>
    <t>tr8_640</t>
  </si>
  <si>
    <t>tr8_680</t>
  </si>
  <si>
    <t>tr8_720</t>
  </si>
  <si>
    <t>tr8_760</t>
  </si>
  <si>
    <t>tr8_800</t>
  </si>
  <si>
    <t>tr9_0</t>
  </si>
  <si>
    <t>tr9_150</t>
  </si>
  <si>
    <t>tr9_350</t>
  </si>
  <si>
    <t>tr10_0</t>
  </si>
  <si>
    <t>tr10_40</t>
  </si>
  <si>
    <t>tr10_80</t>
  </si>
  <si>
    <t>tr10_100</t>
  </si>
  <si>
    <t>tr10_200</t>
  </si>
  <si>
    <t>tr10_240</t>
  </si>
  <si>
    <t>tr10_280</t>
  </si>
  <si>
    <t>tr10_300</t>
  </si>
  <si>
    <t>tr10_400</t>
  </si>
  <si>
    <t>tr10_420</t>
  </si>
  <si>
    <t>tr10_430</t>
  </si>
  <si>
    <t>tr10_450</t>
  </si>
  <si>
    <t>tr10_600</t>
  </si>
  <si>
    <t>tr10_620</t>
  </si>
  <si>
    <t>tr10_640</t>
  </si>
  <si>
    <t>tr10_660</t>
  </si>
  <si>
    <t>tr10_680</t>
  </si>
  <si>
    <t>tr11_0</t>
  </si>
  <si>
    <t>tr11_20</t>
  </si>
  <si>
    <t>tr11_40</t>
  </si>
  <si>
    <t>tr11_60</t>
  </si>
  <si>
    <t>tr11_80</t>
  </si>
  <si>
    <t>tr11_200</t>
  </si>
  <si>
    <t>tr11_240</t>
  </si>
  <si>
    <t>tr11_280</t>
  </si>
  <si>
    <t>tr11_300</t>
  </si>
  <si>
    <t>tr11_500</t>
  </si>
  <si>
    <t>tr11_540</t>
  </si>
  <si>
    <t>tr11_580</t>
  </si>
  <si>
    <t>tr12_0</t>
  </si>
  <si>
    <t>tr12_20</t>
  </si>
  <si>
    <t>tr12_40</t>
  </si>
  <si>
    <t>tr12_60</t>
  </si>
  <si>
    <t>tr12_80</t>
  </si>
  <si>
    <t>tr12_100</t>
  </si>
  <si>
    <t>tr13_0</t>
  </si>
  <si>
    <t>tr13_20</t>
  </si>
  <si>
    <t>tr13_40</t>
  </si>
  <si>
    <t>tr13_60</t>
  </si>
  <si>
    <t>tr13_80</t>
  </si>
  <si>
    <t>tr13_100</t>
  </si>
  <si>
    <t>tr13_120</t>
  </si>
  <si>
    <t>tr13_140</t>
  </si>
  <si>
    <t>tr13_160</t>
  </si>
  <si>
    <t>tr13_180</t>
  </si>
  <si>
    <t>tr13_200</t>
  </si>
  <si>
    <t>tr13_220</t>
  </si>
  <si>
    <t>tr13_240</t>
  </si>
  <si>
    <t>tr13_260</t>
  </si>
  <si>
    <t>tr13_280</t>
  </si>
  <si>
    <t>tr13_300</t>
  </si>
  <si>
    <t>tr13_320</t>
  </si>
  <si>
    <t>tr13_340</t>
  </si>
  <si>
    <t>tr13_400</t>
  </si>
  <si>
    <t>tr13_420</t>
  </si>
  <si>
    <t>tr13_440</t>
  </si>
  <si>
    <t>tr13_460</t>
  </si>
  <si>
    <t>tr13_480</t>
  </si>
  <si>
    <t>tr13_500</t>
  </si>
  <si>
    <t>tr13_520</t>
  </si>
  <si>
    <t>tr13_540</t>
  </si>
  <si>
    <t>tr13_560</t>
  </si>
  <si>
    <t>tr13_580</t>
  </si>
  <si>
    <t>tr13_600</t>
  </si>
  <si>
    <t>tr13_620</t>
  </si>
  <si>
    <t>tr13_640</t>
  </si>
  <si>
    <t>tr13_660</t>
  </si>
  <si>
    <t>tr13_680</t>
  </si>
  <si>
    <t>tr13_700</t>
  </si>
  <si>
    <t>tr13_720</t>
  </si>
  <si>
    <t>tr13_740</t>
  </si>
  <si>
    <t>tr13_760</t>
  </si>
  <si>
    <t>tr13_780</t>
  </si>
  <si>
    <t>tr13_800</t>
  </si>
  <si>
    <t>tr13_820</t>
  </si>
  <si>
    <t>tr13_840</t>
  </si>
  <si>
    <t>tr13_860</t>
  </si>
  <si>
    <t>tr13_880</t>
  </si>
  <si>
    <t>tr13_900</t>
  </si>
  <si>
    <t>tr13_920</t>
  </si>
  <si>
    <t>tr13_940</t>
  </si>
  <si>
    <t>tr13_960</t>
  </si>
  <si>
    <t>tr13_980</t>
  </si>
  <si>
    <t>tr13_1000</t>
  </si>
  <si>
    <t>tr13_1020</t>
  </si>
  <si>
    <t>tr13_1040</t>
  </si>
  <si>
    <t>tr13_1060</t>
  </si>
  <si>
    <t>tr13_1140</t>
  </si>
  <si>
    <t>tr13_1160</t>
  </si>
  <si>
    <t>tr13_1180</t>
  </si>
  <si>
    <t>tr14_0</t>
  </si>
  <si>
    <t>tr14_20</t>
  </si>
  <si>
    <t>tr14_40</t>
  </si>
  <si>
    <t>tr14_60</t>
  </si>
  <si>
    <t>tr14_80</t>
  </si>
  <si>
    <t>tr14_100</t>
  </si>
  <si>
    <t>tr14_120</t>
  </si>
  <si>
    <t>tr14_140</t>
  </si>
  <si>
    <t>tr14_160</t>
  </si>
  <si>
    <t>tr14_180</t>
  </si>
  <si>
    <t>tr14_200</t>
  </si>
  <si>
    <t>tr14_220</t>
  </si>
  <si>
    <t>tr14_240</t>
  </si>
  <si>
    <t>tr14_260</t>
  </si>
  <si>
    <t>tr14_280</t>
  </si>
  <si>
    <t>tr14_300</t>
  </si>
  <si>
    <t>tr14_320</t>
  </si>
  <si>
    <t>tr14_340</t>
  </si>
  <si>
    <t>tr14_360</t>
  </si>
  <si>
    <t>tr14_400</t>
  </si>
  <si>
    <t>tr14_420</t>
  </si>
  <si>
    <t>tr14_440</t>
  </si>
  <si>
    <t>tr14_460</t>
  </si>
  <si>
    <t>tr14_480</t>
  </si>
  <si>
    <t>tr15_0</t>
  </si>
  <si>
    <t>tr16_0</t>
  </si>
  <si>
    <t>tr16_20</t>
  </si>
  <si>
    <t>tr16_40</t>
  </si>
  <si>
    <t>tr16_60</t>
  </si>
  <si>
    <t>tr16_80</t>
  </si>
  <si>
    <t>tr16_100</t>
  </si>
  <si>
    <t>tr16_120</t>
  </si>
  <si>
    <t>tr16_140</t>
  </si>
  <si>
    <t>tr16_160</t>
  </si>
  <si>
    <t>tr16_180</t>
  </si>
  <si>
    <t>tr16_200</t>
  </si>
  <si>
    <t>tr16_220</t>
  </si>
  <si>
    <t>tr16_240</t>
  </si>
  <si>
    <t>tr16_260</t>
  </si>
  <si>
    <t>tr16_280</t>
  </si>
  <si>
    <t>tr16_300</t>
  </si>
  <si>
    <t>tr17_0</t>
  </si>
  <si>
    <t>tr17_20</t>
  </si>
  <si>
    <t>tr17_40</t>
  </si>
  <si>
    <t>tr17_60</t>
  </si>
  <si>
    <t>tr17_80</t>
  </si>
  <si>
    <t>porphry dyke BB61-62</t>
  </si>
  <si>
    <t>tr17_100</t>
  </si>
  <si>
    <t>tr17_120</t>
  </si>
  <si>
    <t>tr17_140</t>
  </si>
  <si>
    <t>tr17_390</t>
  </si>
  <si>
    <t>tr18_0</t>
  </si>
  <si>
    <t>tr18_350</t>
  </si>
  <si>
    <t>tr19_0</t>
  </si>
  <si>
    <t>tr19_20</t>
  </si>
  <si>
    <t>tr19_40</t>
  </si>
  <si>
    <t>tr19_60</t>
  </si>
  <si>
    <t>tr19_80</t>
  </si>
  <si>
    <t>tr19_100</t>
  </si>
  <si>
    <t>tr20_0</t>
  </si>
  <si>
    <t>tr20_40</t>
  </si>
  <si>
    <t>tr20_80</t>
  </si>
  <si>
    <t>tr20_120</t>
  </si>
  <si>
    <t>tr21_0</t>
  </si>
  <si>
    <t>tr21_20</t>
  </si>
  <si>
    <t>tr21_40</t>
  </si>
  <si>
    <t>tr21_60</t>
  </si>
  <si>
    <t>tr21_80</t>
  </si>
  <si>
    <t>tr21_100</t>
  </si>
  <si>
    <t>tr22_0</t>
  </si>
  <si>
    <t>tr22_40</t>
  </si>
  <si>
    <t>tr22_80</t>
  </si>
  <si>
    <t>tr22_120</t>
  </si>
  <si>
    <t>tr23_0</t>
  </si>
  <si>
    <t>tr23_40</t>
  </si>
  <si>
    <t>tr23_80</t>
  </si>
  <si>
    <t>tr23_120</t>
  </si>
  <si>
    <t>top of cystoid lmst?</t>
  </si>
  <si>
    <t>tr23_160</t>
  </si>
  <si>
    <t>tr23_200</t>
  </si>
  <si>
    <t>tr23_240</t>
  </si>
  <si>
    <t>tr23_280</t>
  </si>
  <si>
    <t>tr23_320</t>
  </si>
  <si>
    <t>tr23_360</t>
  </si>
  <si>
    <t>tr23_400</t>
  </si>
  <si>
    <t>tr23_440</t>
  </si>
  <si>
    <t>tr23_480</t>
  </si>
  <si>
    <t>tr23_520</t>
  </si>
  <si>
    <t>tr23_560</t>
  </si>
  <si>
    <t>tr23_600</t>
  </si>
  <si>
    <t>tr23_640</t>
  </si>
  <si>
    <t>tr23_680</t>
  </si>
  <si>
    <t>tr23_720</t>
  </si>
  <si>
    <t>tr23_760</t>
  </si>
  <si>
    <t>BB63-64, 1st Tuff</t>
  </si>
  <si>
    <t>tr23_800</t>
  </si>
  <si>
    <t>tr23_840</t>
  </si>
  <si>
    <t>Backside Beck Carbon isotopes</t>
  </si>
  <si>
    <t>fm</t>
  </si>
  <si>
    <t>strat ht (m)</t>
  </si>
  <si>
    <t>Bulk TOC (wt %)</t>
  </si>
  <si>
    <t>%N</t>
  </si>
  <si>
    <t>δ13Corg VPDB (‰)</t>
  </si>
  <si>
    <t>where</t>
  </si>
  <si>
    <t>liverpool</t>
  </si>
  <si>
    <t>Backside Beck Nitrogen isotopes</t>
  </si>
  <si>
    <t>unit</t>
  </si>
  <si>
    <t>%C</t>
  </si>
  <si>
    <t>d13Corg</t>
  </si>
  <si>
    <t>d15N</t>
  </si>
  <si>
    <t>HGF50</t>
  </si>
  <si>
    <t>HGF43</t>
  </si>
  <si>
    <t>BB36</t>
  </si>
  <si>
    <t>borwgill</t>
  </si>
  <si>
    <t>BB21</t>
  </si>
  <si>
    <t>HGF91</t>
  </si>
  <si>
    <t>HGF77</t>
  </si>
  <si>
    <t>HGF67</t>
  </si>
  <si>
    <t>skegill</t>
  </si>
  <si>
    <t>HGF22</t>
  </si>
  <si>
    <t>HGF16</t>
  </si>
  <si>
    <t>skelgill</t>
  </si>
  <si>
    <t xml:space="preserve">BB2 </t>
  </si>
  <si>
    <t>Skelgill</t>
  </si>
  <si>
    <t xml:space="preserve">BB3 </t>
  </si>
  <si>
    <t>303</t>
  </si>
  <si>
    <t>spen</t>
  </si>
  <si>
    <t>BB 55</t>
  </si>
  <si>
    <t>ashgill sst</t>
  </si>
  <si>
    <t>BB 53</t>
  </si>
  <si>
    <t>BB 54</t>
  </si>
  <si>
    <t>BB 51</t>
  </si>
  <si>
    <t>BB 52</t>
  </si>
  <si>
    <t>BB 4</t>
  </si>
  <si>
    <t>BB 8</t>
  </si>
  <si>
    <t>BB 19</t>
  </si>
  <si>
    <t>Dix</t>
  </si>
  <si>
    <t>C%/%N</t>
  </si>
  <si>
    <t>Cautley</t>
  </si>
  <si>
    <t>239</t>
  </si>
  <si>
    <t>lancs</t>
  </si>
  <si>
    <t>300</t>
  </si>
  <si>
    <t>301</t>
  </si>
  <si>
    <t>302</t>
  </si>
  <si>
    <t>BB64</t>
  </si>
  <si>
    <t>BB65</t>
  </si>
  <si>
    <t>308</t>
  </si>
  <si>
    <t>311</t>
  </si>
  <si>
    <t>312</t>
  </si>
  <si>
    <t>313</t>
  </si>
  <si>
    <t>314</t>
  </si>
  <si>
    <t>BB56</t>
  </si>
  <si>
    <t>229</t>
  </si>
  <si>
    <t>237</t>
  </si>
  <si>
    <t>304</t>
  </si>
  <si>
    <t>305</t>
  </si>
  <si>
    <t>306</t>
  </si>
  <si>
    <t>307</t>
  </si>
  <si>
    <t>BB2</t>
  </si>
  <si>
    <t>BB3</t>
  </si>
  <si>
    <t>BB6</t>
  </si>
  <si>
    <t>HGF 15</t>
  </si>
  <si>
    <t>HGF 16</t>
  </si>
  <si>
    <t>HGF 17</t>
  </si>
  <si>
    <t>HGF 18</t>
  </si>
  <si>
    <t>HGF 19</t>
  </si>
  <si>
    <t>HGF 21</t>
  </si>
  <si>
    <t>HGF 22</t>
  </si>
  <si>
    <t>HGF 23</t>
  </si>
  <si>
    <t>HGF 24</t>
  </si>
  <si>
    <t>spur</t>
  </si>
  <si>
    <t>HGF 25</t>
  </si>
  <si>
    <t>HGF 26</t>
  </si>
  <si>
    <t>HGF 27</t>
  </si>
  <si>
    <t>HGF 64</t>
  </si>
  <si>
    <t>HGF 66</t>
  </si>
  <si>
    <t>HGF 67</t>
  </si>
  <si>
    <t>HGF 68</t>
  </si>
  <si>
    <t>HGF 69</t>
  </si>
  <si>
    <t>HGF 70</t>
  </si>
  <si>
    <t>HEF 71</t>
  </si>
  <si>
    <t>HEF 72</t>
  </si>
  <si>
    <t>HGF 73</t>
  </si>
  <si>
    <t>HGF 74</t>
  </si>
  <si>
    <t>HGF 75</t>
  </si>
  <si>
    <t>HGF 76</t>
  </si>
  <si>
    <t>HGF 77</t>
  </si>
  <si>
    <t>HGF 80</t>
  </si>
  <si>
    <t>HGF 81</t>
  </si>
  <si>
    <t>HGF 82</t>
  </si>
  <si>
    <t>HGF 83</t>
  </si>
  <si>
    <t>HGF 85</t>
  </si>
  <si>
    <t>HGF 87</t>
  </si>
  <si>
    <t>HGF 89</t>
  </si>
  <si>
    <t>HGF 91</t>
  </si>
  <si>
    <t>HGF 93</t>
  </si>
  <si>
    <t>HGF 95</t>
  </si>
  <si>
    <t>HGF 97</t>
  </si>
  <si>
    <t>HGF 99</t>
  </si>
  <si>
    <t>HGF 101</t>
  </si>
  <si>
    <t>HGF 102</t>
  </si>
  <si>
    <t>HGF 104</t>
  </si>
  <si>
    <t>HGF 110</t>
  </si>
  <si>
    <t>HGF 111</t>
  </si>
  <si>
    <t>BB18</t>
  </si>
  <si>
    <t>brow</t>
  </si>
  <si>
    <t>BB20</t>
  </si>
  <si>
    <t>heb</t>
  </si>
  <si>
    <t>BB30</t>
  </si>
  <si>
    <t>HGF 28</t>
  </si>
  <si>
    <t>BB31</t>
  </si>
  <si>
    <t>BB32</t>
  </si>
  <si>
    <t>HGF 31</t>
  </si>
  <si>
    <t>BB33</t>
  </si>
  <si>
    <t>BB34</t>
  </si>
  <si>
    <t>BB35</t>
  </si>
  <si>
    <t>BB37</t>
  </si>
  <si>
    <t>HGF 36</t>
  </si>
  <si>
    <t>BB38</t>
  </si>
  <si>
    <t>spurious</t>
  </si>
  <si>
    <t>HGF 38</t>
  </si>
  <si>
    <t>BB39</t>
  </si>
  <si>
    <t>HGF 40</t>
  </si>
  <si>
    <t>BB40</t>
  </si>
  <si>
    <t>BB41</t>
  </si>
  <si>
    <t>HGF 42</t>
  </si>
  <si>
    <t>HGF 43</t>
  </si>
  <si>
    <t>HGF 44</t>
  </si>
  <si>
    <t>BB42</t>
  </si>
  <si>
    <t>HGF 45</t>
  </si>
  <si>
    <t>HGF 46</t>
  </si>
  <si>
    <t>BB43</t>
  </si>
  <si>
    <t>BB44</t>
  </si>
  <si>
    <t>BB45</t>
  </si>
  <si>
    <t>HGF 50</t>
  </si>
  <si>
    <t>HGF 51</t>
  </si>
  <si>
    <t>HGF 52</t>
  </si>
  <si>
    <t>dickson</t>
  </si>
  <si>
    <t>HGF 53</t>
  </si>
  <si>
    <t>HGF 54</t>
  </si>
  <si>
    <t>HGF 55</t>
  </si>
  <si>
    <t>HGF 56</t>
  </si>
  <si>
    <t>HGF 57</t>
  </si>
  <si>
    <t>HGF 58</t>
  </si>
  <si>
    <t>HGF 61</t>
  </si>
  <si>
    <t>dix</t>
  </si>
  <si>
    <t>BB48</t>
  </si>
  <si>
    <t>HGF 62</t>
  </si>
  <si>
    <t>HGF 63</t>
  </si>
  <si>
    <r>
      <t>c</t>
    </r>
    <r>
      <rPr>
        <sz val="10"/>
        <rFont val="Arial"/>
        <family val="2"/>
      </rPr>
      <t>LF</t>
    </r>
  </si>
  <si>
    <t>SIRM</t>
  </si>
  <si>
    <t>bIRM 100mT</t>
  </si>
  <si>
    <t>Hcr</t>
  </si>
  <si>
    <t>%IRM</t>
  </si>
  <si>
    <r>
      <rPr>
        <sz val="10"/>
        <rFont val="Calibri"/>
        <family val="2"/>
      </rPr>
      <t>SIRM/</t>
    </r>
    <r>
      <rPr>
        <sz val="10"/>
        <rFont val="Symbol"/>
        <family val="1"/>
        <charset val="2"/>
      </rPr>
      <t>c</t>
    </r>
    <r>
      <rPr>
        <sz val="10"/>
        <rFont val="Arial"/>
        <family val="2"/>
      </rPr>
      <t>LF</t>
    </r>
  </si>
  <si>
    <r>
      <rPr>
        <sz val="10"/>
        <rFont val="Cambria"/>
        <family val="1"/>
      </rPr>
      <t>SIRM/</t>
    </r>
    <r>
      <rPr>
        <sz val="10"/>
        <rFont val="Symbol"/>
        <family val="1"/>
        <charset val="2"/>
      </rPr>
      <t>c</t>
    </r>
    <r>
      <rPr>
        <sz val="10"/>
        <rFont val="Arial"/>
        <family val="2"/>
      </rPr>
      <t>ARM</t>
    </r>
  </si>
  <si>
    <t>SIRM=1T</t>
  </si>
  <si>
    <t>No.</t>
  </si>
  <si>
    <r>
      <t>x10</t>
    </r>
    <r>
      <rPr>
        <vertAlign val="superscript"/>
        <sz val="10"/>
        <rFont val="Arial"/>
        <family val="2"/>
      </rPr>
      <t>-7</t>
    </r>
  </si>
  <si>
    <r>
      <t>x10</t>
    </r>
    <r>
      <rPr>
        <vertAlign val="superscript"/>
        <sz val="10"/>
        <rFont val="Arial"/>
        <family val="2"/>
      </rPr>
      <t>-5</t>
    </r>
  </si>
  <si>
    <t>(mT)</t>
  </si>
  <si>
    <t>0.3-1T</t>
  </si>
  <si>
    <r>
      <t xml:space="preserve">x10 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A/m</t>
    </r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</si>
  <si>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/Kg</t>
    </r>
  </si>
  <si>
    <r>
      <t>Am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/Kg</t>
    </r>
  </si>
  <si>
    <t>Bardo Stawy</t>
  </si>
  <si>
    <t>B4</t>
  </si>
  <si>
    <t>B7.2</t>
  </si>
  <si>
    <t>B28</t>
  </si>
  <si>
    <t>Backside Beck</t>
  </si>
  <si>
    <t>BB 1.3</t>
  </si>
  <si>
    <t>BB 6.2</t>
  </si>
  <si>
    <t>BB 12.3</t>
  </si>
  <si>
    <t>BB 15.4</t>
  </si>
  <si>
    <t>BB 17.3</t>
  </si>
  <si>
    <t>BB 33.2</t>
  </si>
  <si>
    <t>BB 39.3</t>
  </si>
  <si>
    <t>BB 41.2</t>
  </si>
  <si>
    <t>BB 46.4</t>
  </si>
  <si>
    <t>BB 61.3</t>
  </si>
  <si>
    <t>BB 66.3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</si>
</sst>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0.0000"/>
    <numFmt numFmtId="167" formatCode="#,##0.0000"/>
    <numFmt numFmtId="168" formatCode="0.0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u/>
      <sz val="11"/>
      <color indexed="12"/>
      <name val="Calibri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sz val="10"/>
      <color indexed="8"/>
      <name val="Segoe U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</font>
    <font>
      <sz val="9"/>
      <name val="Arial"/>
      <family val="2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16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Symbol"/>
      <family val="1"/>
      <charset val="2"/>
    </font>
    <font>
      <sz val="10"/>
      <name val="Calibri"/>
      <family val="2"/>
    </font>
    <font>
      <sz val="10"/>
      <name val="Cambria"/>
      <family val="1"/>
    </font>
    <font>
      <vertAlign val="superscript"/>
      <sz val="10"/>
      <name val="Arial"/>
      <family val="2"/>
    </font>
    <font>
      <b/>
      <sz val="12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</cellStyleXfs>
  <cellXfs count="769">
    <xf numFmtId="0" fontId="0" fillId="0" borderId="0" xfId="0"/>
    <xf numFmtId="0" fontId="0" fillId="4" borderId="0" xfId="0" applyFill="1"/>
    <xf numFmtId="0" fontId="0" fillId="0" borderId="2" xfId="0" applyBorder="1"/>
    <xf numFmtId="1" fontId="0" fillId="0" borderId="0" xfId="0" applyNumberFormat="1"/>
    <xf numFmtId="0" fontId="0" fillId="5" borderId="0" xfId="0" applyFill="1"/>
    <xf numFmtId="164" fontId="0" fillId="0" borderId="0" xfId="0" applyNumberFormat="1"/>
    <xf numFmtId="1" fontId="0" fillId="0" borderId="0" xfId="0" applyNumberFormat="1" applyBorder="1"/>
    <xf numFmtId="0" fontId="0" fillId="0" borderId="0" xfId="0" applyFill="1"/>
    <xf numFmtId="0" fontId="6" fillId="0" borderId="0" xfId="0" applyFont="1"/>
    <xf numFmtId="0" fontId="6" fillId="0" borderId="2" xfId="0" applyFont="1" applyBorder="1"/>
    <xf numFmtId="164" fontId="6" fillId="0" borderId="0" xfId="0" applyNumberFormat="1" applyFont="1"/>
    <xf numFmtId="0" fontId="6" fillId="0" borderId="0" xfId="0" applyFont="1" applyAlignment="1">
      <alignment wrapText="1"/>
    </xf>
    <xf numFmtId="0" fontId="6" fillId="6" borderId="0" xfId="0" applyFont="1" applyFill="1" applyAlignment="1">
      <alignment horizontal="left"/>
    </xf>
    <xf numFmtId="0" fontId="0" fillId="6" borderId="0" xfId="0" applyFill="1"/>
    <xf numFmtId="0" fontId="6" fillId="6" borderId="0" xfId="0" applyFont="1" applyFill="1"/>
    <xf numFmtId="1" fontId="6" fillId="7" borderId="0" xfId="0" applyNumberFormat="1" applyFont="1" applyFill="1"/>
    <xf numFmtId="164" fontId="6" fillId="7" borderId="0" xfId="0" applyNumberFormat="1" applyFont="1" applyFill="1"/>
    <xf numFmtId="0" fontId="6" fillId="0" borderId="0" xfId="0" applyFont="1" applyFill="1"/>
    <xf numFmtId="0" fontId="6" fillId="8" borderId="2" xfId="0" applyFont="1" applyFill="1" applyBorder="1"/>
    <xf numFmtId="0" fontId="6" fillId="8" borderId="0" xfId="0" applyFont="1" applyFill="1"/>
    <xf numFmtId="0" fontId="6" fillId="6" borderId="2" xfId="0" applyFont="1" applyFill="1" applyBorder="1"/>
    <xf numFmtId="1" fontId="0" fillId="7" borderId="0" xfId="0" applyNumberFormat="1" applyFill="1" applyBorder="1"/>
    <xf numFmtId="0" fontId="0" fillId="7" borderId="0" xfId="0" applyFill="1"/>
    <xf numFmtId="0" fontId="6" fillId="9" borderId="2" xfId="0" applyFont="1" applyFill="1" applyBorder="1"/>
    <xf numFmtId="0" fontId="6" fillId="9" borderId="0" xfId="0" applyFont="1" applyFill="1"/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/>
    <xf numFmtId="0" fontId="7" fillId="0" borderId="2" xfId="0" applyFont="1" applyBorder="1"/>
    <xf numFmtId="164" fontId="7" fillId="0" borderId="0" xfId="0" applyNumberFormat="1" applyFont="1"/>
    <xf numFmtId="1" fontId="7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0" xfId="0" applyFont="1" applyAlignment="1">
      <alignment horizontal="center" wrapText="1"/>
    </xf>
    <xf numFmtId="1" fontId="7" fillId="0" borderId="0" xfId="0" applyNumberFormat="1" applyFont="1" applyAlignment="1">
      <alignment horizontal="center" wrapText="1"/>
    </xf>
    <xf numFmtId="1" fontId="7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left"/>
    </xf>
    <xf numFmtId="0" fontId="6" fillId="0" borderId="0" xfId="0" applyFont="1" applyBorder="1"/>
    <xf numFmtId="0" fontId="6" fillId="0" borderId="3" xfId="0" applyFont="1" applyBorder="1" applyAlignment="1">
      <alignment wrapText="1"/>
    </xf>
    <xf numFmtId="0" fontId="0" fillId="0" borderId="4" xfId="0" applyBorder="1"/>
    <xf numFmtId="0" fontId="6" fillId="0" borderId="5" xfId="0" applyFont="1" applyBorder="1" applyAlignment="1">
      <alignment wrapText="1"/>
    </xf>
    <xf numFmtId="164" fontId="6" fillId="0" borderId="3" xfId="0" applyNumberFormat="1" applyFont="1" applyBorder="1" applyAlignment="1">
      <alignment wrapText="1"/>
    </xf>
    <xf numFmtId="0" fontId="6" fillId="0" borderId="3" xfId="0" applyFont="1" applyFill="1" applyBorder="1" applyAlignment="1">
      <alignment wrapText="1"/>
    </xf>
    <xf numFmtId="1" fontId="6" fillId="0" borderId="3" xfId="0" applyNumberFormat="1" applyFont="1" applyBorder="1" applyAlignment="1">
      <alignment wrapText="1"/>
    </xf>
    <xf numFmtId="1" fontId="6" fillId="0" borderId="0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0" borderId="0" xfId="0" applyBorder="1" applyAlignment="1">
      <alignment textRotation="90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6" fillId="0" borderId="0" xfId="0" applyFont="1" applyBorder="1" applyAlignment="1"/>
    <xf numFmtId="2" fontId="0" fillId="0" borderId="0" xfId="0" applyNumberFormat="1"/>
    <xf numFmtId="165" fontId="0" fillId="10" borderId="2" xfId="0" applyNumberFormat="1" applyFill="1" applyBorder="1"/>
    <xf numFmtId="0" fontId="0" fillId="0" borderId="0" xfId="0" applyFill="1" applyBorder="1"/>
    <xf numFmtId="0" fontId="9" fillId="0" borderId="2" xfId="3" applyBorder="1" applyAlignment="1" applyProtection="1"/>
    <xf numFmtId="0" fontId="0" fillId="11" borderId="7" xfId="0" applyFill="1" applyBorder="1"/>
    <xf numFmtId="0" fontId="0" fillId="12" borderId="8" xfId="0" applyFill="1" applyBorder="1"/>
    <xf numFmtId="165" fontId="0" fillId="0" borderId="2" xfId="0" applyNumberFormat="1" applyBorder="1"/>
    <xf numFmtId="0" fontId="0" fillId="13" borderId="0" xfId="0" applyFill="1"/>
    <xf numFmtId="0" fontId="0" fillId="11" borderId="9" xfId="0" applyFill="1" applyBorder="1"/>
    <xf numFmtId="0" fontId="0" fillId="12" borderId="10" xfId="0" applyFill="1" applyBorder="1"/>
    <xf numFmtId="0" fontId="0" fillId="14" borderId="0" xfId="0" applyFill="1"/>
    <xf numFmtId="20" fontId="0" fillId="0" borderId="0" xfId="0" applyNumberFormat="1" applyFill="1"/>
    <xf numFmtId="0" fontId="9" fillId="0" borderId="0" xfId="3" applyAlignment="1" applyProtection="1"/>
    <xf numFmtId="0" fontId="0" fillId="0" borderId="9" xfId="0" applyBorder="1"/>
    <xf numFmtId="2" fontId="0" fillId="14" borderId="0" xfId="0" applyNumberFormat="1" applyFill="1"/>
    <xf numFmtId="2" fontId="0" fillId="0" borderId="0" xfId="0" applyNumberFormat="1" applyFill="1"/>
    <xf numFmtId="164" fontId="0" fillId="0" borderId="0" xfId="0" applyNumberFormat="1" applyFill="1" applyBorder="1"/>
    <xf numFmtId="1" fontId="0" fillId="0" borderId="0" xfId="0" applyNumberFormat="1" applyFill="1" applyBorder="1"/>
    <xf numFmtId="0" fontId="0" fillId="11" borderId="10" xfId="0" applyFill="1" applyBorder="1"/>
    <xf numFmtId="0" fontId="0" fillId="12" borderId="9" xfId="0" applyFill="1" applyBorder="1"/>
    <xf numFmtId="0" fontId="0" fillId="0" borderId="2" xfId="0" applyFill="1" applyBorder="1"/>
    <xf numFmtId="0" fontId="0" fillId="15" borderId="9" xfId="0" applyFill="1" applyBorder="1"/>
    <xf numFmtId="0" fontId="0" fillId="0" borderId="0" xfId="0" applyBorder="1"/>
    <xf numFmtId="165" fontId="0" fillId="4" borderId="2" xfId="0" applyNumberFormat="1" applyFill="1" applyBorder="1"/>
    <xf numFmtId="0" fontId="0" fillId="16" borderId="2" xfId="0" applyFill="1" applyBorder="1"/>
    <xf numFmtId="0" fontId="0" fillId="16" borderId="0" xfId="0" applyFill="1"/>
    <xf numFmtId="0" fontId="0" fillId="17" borderId="10" xfId="0" applyFill="1" applyBorder="1"/>
    <xf numFmtId="165" fontId="0" fillId="0" borderId="2" xfId="0" applyNumberFormat="1" applyFill="1" applyBorder="1"/>
    <xf numFmtId="0" fontId="0" fillId="0" borderId="3" xfId="0" applyBorder="1"/>
    <xf numFmtId="0" fontId="0" fillId="0" borderId="10" xfId="0" applyBorder="1"/>
    <xf numFmtId="164" fontId="0" fillId="0" borderId="0" xfId="0" applyNumberFormat="1" applyFill="1" applyAlignment="1">
      <alignment horizontal="center"/>
    </xf>
    <xf numFmtId="0" fontId="9" fillId="0" borderId="0" xfId="3" applyBorder="1" applyAlignment="1" applyProtection="1"/>
    <xf numFmtId="0" fontId="0" fillId="0" borderId="11" xfId="0" applyBorder="1"/>
    <xf numFmtId="2" fontId="0" fillId="0" borderId="3" xfId="0" applyNumberFormat="1" applyBorder="1"/>
    <xf numFmtId="165" fontId="0" fillId="0" borderId="5" xfId="0" applyNumberFormat="1" applyBorder="1"/>
    <xf numFmtId="164" fontId="0" fillId="0" borderId="3" xfId="0" applyNumberFormat="1" applyBorder="1" applyAlignment="1">
      <alignment horizontal="center"/>
    </xf>
    <xf numFmtId="0" fontId="0" fillId="0" borderId="5" xfId="0" applyBorder="1"/>
    <xf numFmtId="0" fontId="9" fillId="0" borderId="3" xfId="3" applyBorder="1" applyAlignment="1" applyProtection="1"/>
    <xf numFmtId="1" fontId="0" fillId="0" borderId="3" xfId="0" applyNumberFormat="1" applyBorder="1"/>
    <xf numFmtId="0" fontId="0" fillId="16" borderId="5" xfId="0" applyFill="1" applyBorder="1"/>
    <xf numFmtId="0" fontId="0" fillId="16" borderId="3" xfId="0" applyFill="1" applyBorder="1"/>
    <xf numFmtId="0" fontId="0" fillId="0" borderId="3" xfId="0" applyFill="1" applyBorder="1"/>
    <xf numFmtId="0" fontId="0" fillId="14" borderId="3" xfId="0" applyFill="1" applyBorder="1"/>
    <xf numFmtId="0" fontId="9" fillId="0" borderId="5" xfId="3" applyBorder="1" applyAlignment="1" applyProtection="1"/>
    <xf numFmtId="0" fontId="0" fillId="15" borderId="13" xfId="0" applyFill="1" applyBorder="1"/>
    <xf numFmtId="0" fontId="0" fillId="15" borderId="14" xfId="0" applyFill="1" applyBorder="1"/>
    <xf numFmtId="2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0" fillId="13" borderId="0" xfId="0" applyFill="1" applyBorder="1"/>
    <xf numFmtId="0" fontId="0" fillId="15" borderId="10" xfId="0" applyFill="1" applyBorder="1"/>
    <xf numFmtId="164" fontId="0" fillId="0" borderId="0" xfId="0" applyNumberFormat="1" applyBorder="1"/>
    <xf numFmtId="0" fontId="9" fillId="0" borderId="2" xfId="3" applyFill="1" applyBorder="1" applyAlignment="1" applyProtection="1"/>
    <xf numFmtId="1" fontId="0" fillId="0" borderId="0" xfId="0" applyNumberFormat="1" applyFill="1"/>
    <xf numFmtId="165" fontId="0" fillId="4" borderId="5" xfId="0" applyNumberFormat="1" applyFill="1" applyBorder="1"/>
    <xf numFmtId="164" fontId="0" fillId="0" borderId="3" xfId="0" applyNumberFormat="1" applyBorder="1"/>
    <xf numFmtId="0" fontId="0" fillId="11" borderId="13" xfId="0" applyFill="1" applyBorder="1"/>
    <xf numFmtId="0" fontId="0" fillId="17" borderId="14" xfId="0" applyFill="1" applyBorder="1"/>
    <xf numFmtId="0" fontId="0" fillId="12" borderId="13" xfId="0" applyFill="1" applyBorder="1"/>
    <xf numFmtId="0" fontId="0" fillId="12" borderId="14" xfId="0" applyFill="1" applyBorder="1"/>
    <xf numFmtId="0" fontId="0" fillId="13" borderId="3" xfId="0" applyFill="1" applyBorder="1"/>
    <xf numFmtId="0" fontId="0" fillId="0" borderId="5" xfId="0" applyFill="1" applyBorder="1"/>
    <xf numFmtId="0" fontId="0" fillId="0" borderId="13" xfId="0" applyBorder="1"/>
    <xf numFmtId="0" fontId="0" fillId="0" borderId="9" xfId="0" applyFill="1" applyBorder="1"/>
    <xf numFmtId="0" fontId="0" fillId="17" borderId="9" xfId="0" applyFill="1" applyBorder="1"/>
    <xf numFmtId="0" fontId="0" fillId="0" borderId="15" xfId="0" applyBorder="1"/>
    <xf numFmtId="0" fontId="5" fillId="0" borderId="0" xfId="0" applyFont="1"/>
    <xf numFmtId="2" fontId="0" fillId="0" borderId="15" xfId="0" applyNumberFormat="1" applyBorder="1"/>
    <xf numFmtId="165" fontId="0" fillId="4" borderId="16" xfId="0" applyNumberFormat="1" applyFill="1" applyBorder="1"/>
    <xf numFmtId="164" fontId="0" fillId="0" borderId="15" xfId="0" applyNumberFormat="1" applyBorder="1" applyAlignment="1">
      <alignment horizontal="center"/>
    </xf>
    <xf numFmtId="0" fontId="0" fillId="0" borderId="16" xfId="0" applyBorder="1"/>
    <xf numFmtId="0" fontId="0" fillId="0" borderId="15" xfId="0" applyFill="1" applyBorder="1"/>
    <xf numFmtId="0" fontId="0" fillId="14" borderId="15" xfId="0" applyFill="1" applyBorder="1"/>
    <xf numFmtId="0" fontId="0" fillId="12" borderId="17" xfId="0" applyFill="1" applyBorder="1"/>
    <xf numFmtId="0" fontId="0" fillId="12" borderId="18" xfId="0" applyFill="1" applyBorder="1"/>
    <xf numFmtId="2" fontId="0" fillId="0" borderId="3" xfId="0" applyNumberFormat="1" applyFill="1" applyBorder="1"/>
    <xf numFmtId="2" fontId="0" fillId="0" borderId="0" xfId="0" applyNumberFormat="1" applyFill="1" applyBorder="1"/>
    <xf numFmtId="0" fontId="9" fillId="5" borderId="0" xfId="3" applyFill="1" applyAlignment="1" applyProtection="1"/>
    <xf numFmtId="0" fontId="9" fillId="0" borderId="0" xfId="3" applyFill="1" applyAlignment="1" applyProtection="1"/>
    <xf numFmtId="164" fontId="0" fillId="0" borderId="0" xfId="0" applyNumberFormat="1" applyFill="1"/>
    <xf numFmtId="0" fontId="0" fillId="11" borderId="11" xfId="0" applyFill="1" applyBorder="1"/>
    <xf numFmtId="0" fontId="0" fillId="17" borderId="12" xfId="0" applyFill="1" applyBorder="1"/>
    <xf numFmtId="0" fontId="0" fillId="11" borderId="0" xfId="0" applyFill="1" applyBorder="1"/>
    <xf numFmtId="0" fontId="0" fillId="12" borderId="0" xfId="0" applyFill="1" applyBorder="1"/>
    <xf numFmtId="1" fontId="0" fillId="16" borderId="0" xfId="0" applyNumberFormat="1" applyFill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2" fontId="0" fillId="0" borderId="0" xfId="0" applyNumberFormat="1" applyAlignment="1">
      <alignment horizontal="center"/>
    </xf>
    <xf numFmtId="0" fontId="0" fillId="18" borderId="2" xfId="0" applyFill="1" applyBorder="1"/>
    <xf numFmtId="0" fontId="0" fillId="19" borderId="0" xfId="0" applyFill="1"/>
    <xf numFmtId="165" fontId="0" fillId="0" borderId="0" xfId="0" applyNumberFormat="1" applyFill="1" applyBorder="1"/>
    <xf numFmtId="0" fontId="0" fillId="18" borderId="0" xfId="0" applyFill="1"/>
    <xf numFmtId="0" fontId="0" fillId="19" borderId="0" xfId="0" applyFill="1" applyBorder="1"/>
    <xf numFmtId="0" fontId="0" fillId="18" borderId="0" xfId="0" applyFill="1" applyBorder="1"/>
    <xf numFmtId="0" fontId="0" fillId="20" borderId="9" xfId="0" applyFill="1" applyBorder="1"/>
    <xf numFmtId="0" fontId="0" fillId="20" borderId="10" xfId="0" applyFill="1" applyBorder="1"/>
    <xf numFmtId="0" fontId="0" fillId="0" borderId="10" xfId="0" applyFill="1" applyBorder="1"/>
    <xf numFmtId="0" fontId="0" fillId="12" borderId="11" xfId="0" applyFill="1" applyBorder="1"/>
    <xf numFmtId="0" fontId="0" fillId="11" borderId="12" xfId="0" applyFill="1" applyBorder="1"/>
    <xf numFmtId="0" fontId="4" fillId="0" borderId="0" xfId="0" applyFont="1" applyFill="1"/>
    <xf numFmtId="0" fontId="10" fillId="0" borderId="0" xfId="0" applyFont="1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/>
    </xf>
    <xf numFmtId="0" fontId="7" fillId="0" borderId="0" xfId="0" applyFont="1" applyBorder="1"/>
    <xf numFmtId="2" fontId="0" fillId="0" borderId="4" xfId="0" applyNumberFormat="1" applyBorder="1"/>
    <xf numFmtId="0" fontId="13" fillId="0" borderId="0" xfId="0" applyFont="1" applyFill="1"/>
    <xf numFmtId="0" fontId="13" fillId="0" borderId="0" xfId="0" applyFont="1" applyFill="1" applyBorder="1"/>
    <xf numFmtId="164" fontId="6" fillId="0" borderId="0" xfId="0" applyNumberFormat="1" applyFont="1" applyBorder="1"/>
    <xf numFmtId="164" fontId="6" fillId="0" borderId="0" xfId="0" applyNumberFormat="1" applyFont="1" applyBorder="1" applyAlignment="1">
      <alignment wrapText="1"/>
    </xf>
    <xf numFmtId="0" fontId="1" fillId="19" borderId="0" xfId="1" applyFont="1" applyFill="1" applyBorder="1" applyAlignment="1">
      <alignment horizontal="left" wrapText="1"/>
    </xf>
    <xf numFmtId="0" fontId="6" fillId="23" borderId="0" xfId="0" applyFont="1" applyFill="1" applyBorder="1"/>
    <xf numFmtId="0" fontId="6" fillId="23" borderId="0" xfId="0" applyFont="1" applyFill="1" applyBorder="1" applyAlignment="1"/>
    <xf numFmtId="0" fontId="6" fillId="9" borderId="0" xfId="0" applyFont="1" applyFill="1" applyBorder="1"/>
    <xf numFmtId="164" fontId="7" fillId="0" borderId="0" xfId="0" applyNumberFormat="1" applyFont="1" applyBorder="1"/>
    <xf numFmtId="0" fontId="7" fillId="7" borderId="2" xfId="0" applyFont="1" applyFill="1" applyBorder="1"/>
    <xf numFmtId="0" fontId="7" fillId="7" borderId="0" xfId="0" applyFont="1" applyFill="1" applyBorder="1"/>
    <xf numFmtId="0" fontId="3" fillId="3" borderId="2" xfId="2" applyBorder="1"/>
    <xf numFmtId="0" fontId="3" fillId="3" borderId="0" xfId="2" applyBorder="1"/>
    <xf numFmtId="0" fontId="14" fillId="19" borderId="2" xfId="2" applyFont="1" applyFill="1" applyBorder="1"/>
    <xf numFmtId="0" fontId="14" fillId="19" borderId="0" xfId="2" applyFont="1" applyFill="1" applyBorder="1"/>
    <xf numFmtId="0" fontId="1" fillId="19" borderId="0" xfId="1" applyFont="1" applyFill="1" applyBorder="1"/>
    <xf numFmtId="0" fontId="7" fillId="0" borderId="0" xfId="0" applyFont="1" applyFill="1" applyBorder="1" applyAlignment="1"/>
    <xf numFmtId="0" fontId="6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6" fillId="7" borderId="2" xfId="0" applyFont="1" applyFill="1" applyBorder="1" applyAlignment="1">
      <alignment wrapText="1"/>
    </xf>
    <xf numFmtId="0" fontId="6" fillId="7" borderId="0" xfId="0" applyFont="1" applyFill="1" applyBorder="1" applyAlignment="1">
      <alignment wrapText="1"/>
    </xf>
    <xf numFmtId="0" fontId="3" fillId="3" borderId="2" xfId="2" applyBorder="1" applyAlignment="1">
      <alignment wrapText="1"/>
    </xf>
    <xf numFmtId="0" fontId="3" fillId="3" borderId="0" xfId="2" applyBorder="1" applyAlignment="1">
      <alignment wrapText="1"/>
    </xf>
    <xf numFmtId="0" fontId="1" fillId="19" borderId="2" xfId="1" applyFont="1" applyFill="1" applyBorder="1" applyAlignment="1">
      <alignment wrapText="1"/>
    </xf>
    <xf numFmtId="0" fontId="1" fillId="19" borderId="0" xfId="1" applyFont="1" applyFill="1" applyBorder="1" applyAlignment="1">
      <alignment wrapText="1"/>
    </xf>
    <xf numFmtId="0" fontId="6" fillId="23" borderId="0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0" fillId="16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164" fontId="15" fillId="0" borderId="0" xfId="0" applyNumberFormat="1" applyFont="1" applyFill="1" applyBorder="1" applyAlignment="1">
      <alignment wrapText="1"/>
    </xf>
    <xf numFmtId="1" fontId="15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wrapText="1"/>
    </xf>
    <xf numFmtId="0" fontId="15" fillId="0" borderId="2" xfId="0" applyFont="1" applyFill="1" applyBorder="1" applyAlignment="1"/>
    <xf numFmtId="0" fontId="15" fillId="0" borderId="0" xfId="0" applyFont="1" applyFill="1" applyBorder="1" applyAlignment="1"/>
    <xf numFmtId="0" fontId="16" fillId="0" borderId="0" xfId="3" applyFont="1" applyFill="1" applyBorder="1" applyAlignment="1" applyProtection="1">
      <alignment wrapText="1"/>
    </xf>
    <xf numFmtId="0" fontId="15" fillId="11" borderId="7" xfId="0" applyFont="1" applyFill="1" applyBorder="1" applyAlignment="1">
      <alignment wrapText="1"/>
    </xf>
    <xf numFmtId="0" fontId="15" fillId="11" borderId="8" xfId="0" applyFont="1" applyFill="1" applyBorder="1" applyAlignment="1">
      <alignment wrapText="1"/>
    </xf>
    <xf numFmtId="0" fontId="0" fillId="13" borderId="0" xfId="0" applyFont="1" applyFill="1" applyBorder="1" applyAlignment="1">
      <alignment wrapText="1"/>
    </xf>
    <xf numFmtId="0" fontId="15" fillId="11" borderId="9" xfId="0" applyFont="1" applyFill="1" applyBorder="1" applyAlignment="1">
      <alignment wrapText="1"/>
    </xf>
    <xf numFmtId="0" fontId="15" fillId="11" borderId="10" xfId="0" applyFont="1" applyFill="1" applyBorder="1" applyAlignment="1">
      <alignment wrapText="1"/>
    </xf>
    <xf numFmtId="0" fontId="0" fillId="0" borderId="2" xfId="0" applyFill="1" applyBorder="1" applyAlignment="1"/>
    <xf numFmtId="0" fontId="0" fillId="0" borderId="0" xfId="0" applyFill="1" applyBorder="1" applyAlignment="1"/>
    <xf numFmtId="0" fontId="0" fillId="24" borderId="9" xfId="0" applyFill="1" applyBorder="1"/>
    <xf numFmtId="0" fontId="0" fillId="24" borderId="10" xfId="0" applyFill="1" applyBorder="1"/>
    <xf numFmtId="0" fontId="16" fillId="0" borderId="2" xfId="3" applyFont="1" applyFill="1" applyBorder="1" applyAlignment="1" applyProtection="1"/>
    <xf numFmtId="0" fontId="16" fillId="0" borderId="0" xfId="3" applyFont="1" applyFill="1" applyBorder="1" applyAlignment="1" applyProtection="1"/>
    <xf numFmtId="2" fontId="15" fillId="0" borderId="0" xfId="0" applyNumberFormat="1" applyFont="1" applyFill="1" applyBorder="1" applyAlignment="1">
      <alignment wrapText="1"/>
    </xf>
    <xf numFmtId="0" fontId="0" fillId="25" borderId="0" xfId="0" applyFill="1"/>
    <xf numFmtId="0" fontId="0" fillId="4" borderId="0" xfId="0" applyFill="1" applyBorder="1"/>
    <xf numFmtId="0" fontId="0" fillId="4" borderId="9" xfId="0" applyFill="1" applyBorder="1"/>
    <xf numFmtId="0" fontId="0" fillId="4" borderId="10" xfId="0" applyFill="1" applyBorder="1"/>
    <xf numFmtId="0" fontId="0" fillId="25" borderId="19" xfId="0" applyFill="1" applyBorder="1"/>
    <xf numFmtId="0" fontId="0" fillId="25" borderId="0" xfId="0" applyFill="1" applyBorder="1"/>
    <xf numFmtId="0" fontId="0" fillId="25" borderId="3" xfId="0" applyFill="1" applyBorder="1"/>
    <xf numFmtId="0" fontId="16" fillId="0" borderId="3" xfId="3" applyFont="1" applyFill="1" applyBorder="1" applyAlignment="1" applyProtection="1"/>
    <xf numFmtId="0" fontId="0" fillId="11" borderId="14" xfId="0" applyFill="1" applyBorder="1"/>
    <xf numFmtId="0" fontId="0" fillId="16" borderId="0" xfId="0" applyFill="1" applyBorder="1"/>
    <xf numFmtId="0" fontId="0" fillId="7" borderId="0" xfId="0" applyFill="1" applyBorder="1"/>
    <xf numFmtId="0" fontId="0" fillId="0" borderId="4" xfId="0" applyFill="1" applyBorder="1"/>
    <xf numFmtId="0" fontId="16" fillId="0" borderId="2" xfId="3" applyFont="1" applyBorder="1" applyAlignment="1" applyProtection="1"/>
    <xf numFmtId="0" fontId="0" fillId="12" borderId="12" xfId="0" applyFill="1" applyBorder="1"/>
    <xf numFmtId="20" fontId="0" fillId="0" borderId="0" xfId="0" applyNumberFormat="1" applyFill="1" applyBorder="1"/>
    <xf numFmtId="49" fontId="4" fillId="0" borderId="0" xfId="0" applyNumberFormat="1" applyFont="1" applyFill="1" applyAlignment="1">
      <alignment horizontal="center"/>
    </xf>
    <xf numFmtId="46" fontId="0" fillId="0" borderId="0" xfId="0" applyNumberFormat="1" applyFill="1" applyBorder="1"/>
    <xf numFmtId="0" fontId="17" fillId="0" borderId="2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left" vertical="center"/>
    </xf>
    <xf numFmtId="164" fontId="17" fillId="0" borderId="6" xfId="0" applyNumberFormat="1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164" fontId="17" fillId="0" borderId="21" xfId="0" applyNumberFormat="1" applyFont="1" applyBorder="1" applyAlignment="1">
      <alignment horizontal="center" vertical="center"/>
    </xf>
    <xf numFmtId="164" fontId="17" fillId="0" borderId="3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164" fontId="17" fillId="0" borderId="19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164" fontId="17" fillId="0" borderId="4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0" fillId="27" borderId="0" xfId="0" applyFill="1"/>
    <xf numFmtId="0" fontId="20" fillId="0" borderId="0" xfId="0" applyFont="1"/>
    <xf numFmtId="0" fontId="20" fillId="0" borderId="2" xfId="0" applyFont="1" applyBorder="1"/>
    <xf numFmtId="0" fontId="20" fillId="0" borderId="0" xfId="0" applyFont="1" applyBorder="1"/>
    <xf numFmtId="164" fontId="20" fillId="0" borderId="2" xfId="0" applyNumberFormat="1" applyFont="1" applyFill="1" applyBorder="1"/>
    <xf numFmtId="164" fontId="20" fillId="0" borderId="6" xfId="0" applyNumberFormat="1" applyFont="1" applyBorder="1"/>
    <xf numFmtId="164" fontId="20" fillId="0" borderId="0" xfId="0" applyNumberFormat="1" applyFont="1" applyBorder="1"/>
    <xf numFmtId="164" fontId="20" fillId="28" borderId="2" xfId="0" applyNumberFormat="1" applyFont="1" applyFill="1" applyBorder="1"/>
    <xf numFmtId="165" fontId="20" fillId="0" borderId="6" xfId="0" applyNumberFormat="1" applyFont="1" applyBorder="1"/>
    <xf numFmtId="166" fontId="20" fillId="0" borderId="2" xfId="0" applyNumberFormat="1" applyFont="1" applyBorder="1"/>
    <xf numFmtId="166" fontId="20" fillId="0" borderId="0" xfId="0" applyNumberFormat="1" applyFont="1" applyBorder="1"/>
    <xf numFmtId="165" fontId="20" fillId="0" borderId="2" xfId="0" applyNumberFormat="1" applyFont="1" applyBorder="1"/>
    <xf numFmtId="165" fontId="20" fillId="0" borderId="0" xfId="0" applyNumberFormat="1" applyFont="1" applyBorder="1"/>
    <xf numFmtId="165" fontId="20" fillId="0" borderId="0" xfId="0" applyNumberFormat="1" applyFont="1" applyFill="1" applyBorder="1"/>
    <xf numFmtId="165" fontId="20" fillId="29" borderId="0" xfId="0" applyNumberFormat="1" applyFont="1" applyFill="1" applyBorder="1"/>
    <xf numFmtId="0" fontId="21" fillId="0" borderId="0" xfId="4" applyFont="1" applyBorder="1"/>
    <xf numFmtId="164" fontId="22" fillId="0" borderId="0" xfId="0" applyNumberFormat="1" applyFont="1"/>
    <xf numFmtId="164" fontId="23" fillId="0" borderId="0" xfId="4" applyNumberFormat="1" applyFont="1" applyBorder="1"/>
    <xf numFmtId="0" fontId="21" fillId="0" borderId="2" xfId="4" applyFont="1" applyFill="1" applyBorder="1"/>
    <xf numFmtId="0" fontId="24" fillId="0" borderId="0" xfId="0" applyFont="1"/>
    <xf numFmtId="0" fontId="20" fillId="0" borderId="26" xfId="0" applyFont="1" applyBorder="1"/>
    <xf numFmtId="0" fontId="0" fillId="0" borderId="27" xfId="0" applyBorder="1"/>
    <xf numFmtId="0" fontId="20" fillId="0" borderId="28" xfId="0" applyFont="1" applyBorder="1"/>
    <xf numFmtId="164" fontId="20" fillId="28" borderId="28" xfId="0" applyNumberFormat="1" applyFont="1" applyFill="1" applyBorder="1"/>
    <xf numFmtId="165" fontId="20" fillId="0" borderId="27" xfId="0" applyNumberFormat="1" applyFont="1" applyBorder="1"/>
    <xf numFmtId="166" fontId="20" fillId="0" borderId="28" xfId="0" applyNumberFormat="1" applyFont="1" applyBorder="1"/>
    <xf numFmtId="166" fontId="20" fillId="0" borderId="26" xfId="0" applyNumberFormat="1" applyFont="1" applyBorder="1"/>
    <xf numFmtId="165" fontId="20" fillId="0" borderId="28" xfId="0" applyNumberFormat="1" applyFont="1" applyBorder="1"/>
    <xf numFmtId="165" fontId="20" fillId="0" borderId="26" xfId="0" applyNumberFormat="1" applyFont="1" applyBorder="1"/>
    <xf numFmtId="165" fontId="20" fillId="0" borderId="26" xfId="0" applyNumberFormat="1" applyFont="1" applyFill="1" applyBorder="1"/>
    <xf numFmtId="165" fontId="20" fillId="29" borderId="26" xfId="0" applyNumberFormat="1" applyFont="1" applyFill="1" applyBorder="1"/>
    <xf numFmtId="0" fontId="21" fillId="0" borderId="26" xfId="4" applyFont="1" applyBorder="1"/>
    <xf numFmtId="164" fontId="22" fillId="0" borderId="26" xfId="0" applyNumberFormat="1" applyFont="1" applyBorder="1"/>
    <xf numFmtId="164" fontId="23" fillId="0" borderId="26" xfId="4" applyNumberFormat="1" applyFont="1" applyBorder="1"/>
    <xf numFmtId="0" fontId="0" fillId="30" borderId="0" xfId="0" applyFill="1"/>
    <xf numFmtId="164" fontId="20" fillId="28" borderId="0" xfId="0" applyNumberFormat="1" applyFont="1" applyFill="1" applyBorder="1"/>
    <xf numFmtId="0" fontId="20" fillId="0" borderId="0" xfId="0" applyFont="1" applyFill="1" applyBorder="1"/>
    <xf numFmtId="0" fontId="20" fillId="29" borderId="0" xfId="0" applyFont="1" applyFill="1" applyBorder="1"/>
    <xf numFmtId="164" fontId="22" fillId="0" borderId="0" xfId="0" applyNumberFormat="1" applyFont="1" applyBorder="1"/>
    <xf numFmtId="0" fontId="0" fillId="31" borderId="0" xfId="0" applyFill="1"/>
    <xf numFmtId="164" fontId="20" fillId="0" borderId="0" xfId="0" applyNumberFormat="1" applyFont="1" applyFill="1" applyBorder="1"/>
    <xf numFmtId="164" fontId="0" fillId="32" borderId="0" xfId="0" applyNumberFormat="1" applyFill="1"/>
    <xf numFmtId="0" fontId="0" fillId="32" borderId="0" xfId="0" applyFill="1"/>
    <xf numFmtId="2" fontId="0" fillId="32" borderId="0" xfId="0" applyNumberFormat="1" applyFill="1"/>
    <xf numFmtId="0" fontId="20" fillId="31" borderId="0" xfId="0" applyFont="1" applyFill="1"/>
    <xf numFmtId="0" fontId="20" fillId="31" borderId="2" xfId="0" applyFont="1" applyFill="1" applyBorder="1"/>
    <xf numFmtId="0" fontId="20" fillId="31" borderId="0" xfId="0" applyFont="1" applyFill="1" applyBorder="1"/>
    <xf numFmtId="164" fontId="20" fillId="31" borderId="2" xfId="0" applyNumberFormat="1" applyFont="1" applyFill="1" applyBorder="1"/>
    <xf numFmtId="164" fontId="20" fillId="31" borderId="6" xfId="0" applyNumberFormat="1" applyFont="1" applyFill="1" applyBorder="1"/>
    <xf numFmtId="165" fontId="20" fillId="31" borderId="6" xfId="0" applyNumberFormat="1" applyFont="1" applyFill="1" applyBorder="1"/>
    <xf numFmtId="166" fontId="20" fillId="31" borderId="2" xfId="0" applyNumberFormat="1" applyFont="1" applyFill="1" applyBorder="1"/>
    <xf numFmtId="166" fontId="20" fillId="31" borderId="0" xfId="0" applyNumberFormat="1" applyFont="1" applyFill="1" applyBorder="1"/>
    <xf numFmtId="165" fontId="20" fillId="31" borderId="2" xfId="0" applyNumberFormat="1" applyFont="1" applyFill="1" applyBorder="1"/>
    <xf numFmtId="165" fontId="20" fillId="31" borderId="0" xfId="0" applyNumberFormat="1" applyFont="1" applyFill="1" applyBorder="1"/>
    <xf numFmtId="0" fontId="21" fillId="31" borderId="0" xfId="4" applyFont="1" applyFill="1" applyBorder="1"/>
    <xf numFmtId="164" fontId="22" fillId="31" borderId="0" xfId="0" applyNumberFormat="1" applyFont="1" applyFill="1"/>
    <xf numFmtId="164" fontId="23" fillId="31" borderId="0" xfId="4" applyNumberFormat="1" applyFont="1" applyFill="1" applyBorder="1"/>
    <xf numFmtId="0" fontId="24" fillId="31" borderId="0" xfId="0" applyFont="1" applyFill="1"/>
    <xf numFmtId="0" fontId="21" fillId="0" borderId="0" xfId="4" applyFont="1" applyFill="1" applyBorder="1"/>
    <xf numFmtId="2" fontId="20" fillId="31" borderId="0" xfId="0" applyNumberFormat="1" applyFont="1" applyFill="1"/>
    <xf numFmtId="0" fontId="21" fillId="33" borderId="2" xfId="4" applyFont="1" applyFill="1" applyBorder="1"/>
    <xf numFmtId="0" fontId="0" fillId="33" borderId="0" xfId="0" applyFill="1"/>
    <xf numFmtId="0" fontId="20" fillId="31" borderId="26" xfId="0" applyFont="1" applyFill="1" applyBorder="1"/>
    <xf numFmtId="2" fontId="20" fillId="31" borderId="26" xfId="0" applyNumberFormat="1" applyFont="1" applyFill="1" applyBorder="1"/>
    <xf numFmtId="0" fontId="20" fillId="31" borderId="28" xfId="0" applyFont="1" applyFill="1" applyBorder="1"/>
    <xf numFmtId="165" fontId="20" fillId="31" borderId="27" xfId="0" applyNumberFormat="1" applyFont="1" applyFill="1" applyBorder="1"/>
    <xf numFmtId="166" fontId="20" fillId="31" borderId="28" xfId="0" applyNumberFormat="1" applyFont="1" applyFill="1" applyBorder="1"/>
    <xf numFmtId="166" fontId="20" fillId="31" borderId="26" xfId="0" applyNumberFormat="1" applyFont="1" applyFill="1" applyBorder="1"/>
    <xf numFmtId="165" fontId="20" fillId="31" borderId="28" xfId="0" applyNumberFormat="1" applyFont="1" applyFill="1" applyBorder="1"/>
    <xf numFmtId="165" fontId="20" fillId="31" borderId="26" xfId="0" applyNumberFormat="1" applyFont="1" applyFill="1" applyBorder="1"/>
    <xf numFmtId="0" fontId="21" fillId="31" borderId="26" xfId="4" applyFont="1" applyFill="1" applyBorder="1"/>
    <xf numFmtId="164" fontId="22" fillId="31" borderId="26" xfId="0" applyNumberFormat="1" applyFont="1" applyFill="1" applyBorder="1"/>
    <xf numFmtId="164" fontId="23" fillId="31" borderId="26" xfId="4" applyNumberFormat="1" applyFont="1" applyFill="1" applyBorder="1"/>
    <xf numFmtId="0" fontId="21" fillId="0" borderId="26" xfId="4" applyFont="1" applyFill="1" applyBorder="1"/>
    <xf numFmtId="2" fontId="20" fillId="31" borderId="0" xfId="0" applyNumberFormat="1" applyFont="1" applyFill="1" applyBorder="1"/>
    <xf numFmtId="0" fontId="0" fillId="34" borderId="0" xfId="0" applyFill="1"/>
    <xf numFmtId="164" fontId="20" fillId="0" borderId="28" xfId="0" applyNumberFormat="1" applyFont="1" applyFill="1" applyBorder="1"/>
    <xf numFmtId="0" fontId="0" fillId="35" borderId="0" xfId="0" applyFill="1"/>
    <xf numFmtId="0" fontId="20" fillId="35" borderId="0" xfId="0" applyFont="1" applyFill="1"/>
    <xf numFmtId="0" fontId="20" fillId="35" borderId="2" xfId="0" applyFont="1" applyFill="1" applyBorder="1"/>
    <xf numFmtId="0" fontId="20" fillId="35" borderId="0" xfId="0" applyFont="1" applyFill="1" applyBorder="1"/>
    <xf numFmtId="164" fontId="20" fillId="35" borderId="2" xfId="0" applyNumberFormat="1" applyFont="1" applyFill="1" applyBorder="1"/>
    <xf numFmtId="164" fontId="20" fillId="35" borderId="6" xfId="0" applyNumberFormat="1" applyFont="1" applyFill="1" applyBorder="1"/>
    <xf numFmtId="165" fontId="20" fillId="35" borderId="6" xfId="0" applyNumberFormat="1" applyFont="1" applyFill="1" applyBorder="1"/>
    <xf numFmtId="166" fontId="20" fillId="35" borderId="2" xfId="0" applyNumberFormat="1" applyFont="1" applyFill="1" applyBorder="1"/>
    <xf numFmtId="166" fontId="20" fillId="35" borderId="0" xfId="0" applyNumberFormat="1" applyFont="1" applyFill="1" applyBorder="1"/>
    <xf numFmtId="165" fontId="20" fillId="35" borderId="2" xfId="0" applyNumberFormat="1" applyFont="1" applyFill="1" applyBorder="1"/>
    <xf numFmtId="165" fontId="20" fillId="35" borderId="0" xfId="0" applyNumberFormat="1" applyFont="1" applyFill="1" applyBorder="1"/>
    <xf numFmtId="0" fontId="21" fillId="35" borderId="0" xfId="4" applyFont="1" applyFill="1" applyBorder="1"/>
    <xf numFmtId="164" fontId="22" fillId="35" borderId="0" xfId="0" applyNumberFormat="1" applyFont="1" applyFill="1"/>
    <xf numFmtId="164" fontId="23" fillId="35" borderId="0" xfId="4" applyNumberFormat="1" applyFont="1" applyFill="1" applyBorder="1"/>
    <xf numFmtId="0" fontId="24" fillId="35" borderId="0" xfId="0" applyFont="1" applyFill="1"/>
    <xf numFmtId="0" fontId="21" fillId="35" borderId="2" xfId="4" applyFont="1" applyFill="1" applyBorder="1"/>
    <xf numFmtId="2" fontId="20" fillId="35" borderId="0" xfId="0" applyNumberFormat="1" applyFont="1" applyFill="1"/>
    <xf numFmtId="0" fontId="20" fillId="35" borderId="26" xfId="0" applyFont="1" applyFill="1" applyBorder="1"/>
    <xf numFmtId="2" fontId="20" fillId="35" borderId="26" xfId="0" applyNumberFormat="1" applyFont="1" applyFill="1" applyBorder="1"/>
    <xf numFmtId="0" fontId="20" fillId="35" borderId="28" xfId="0" applyFont="1" applyFill="1" applyBorder="1"/>
    <xf numFmtId="165" fontId="20" fillId="35" borderId="27" xfId="0" applyNumberFormat="1" applyFont="1" applyFill="1" applyBorder="1"/>
    <xf numFmtId="166" fontId="20" fillId="35" borderId="28" xfId="0" applyNumberFormat="1" applyFont="1" applyFill="1" applyBorder="1"/>
    <xf numFmtId="166" fontId="20" fillId="35" borderId="26" xfId="0" applyNumberFormat="1" applyFont="1" applyFill="1" applyBorder="1"/>
    <xf numFmtId="165" fontId="20" fillId="35" borderId="28" xfId="0" applyNumberFormat="1" applyFont="1" applyFill="1" applyBorder="1"/>
    <xf numFmtId="165" fontId="20" fillId="35" borderId="26" xfId="0" applyNumberFormat="1" applyFont="1" applyFill="1" applyBorder="1"/>
    <xf numFmtId="0" fontId="21" fillId="35" borderId="26" xfId="4" applyFont="1" applyFill="1" applyBorder="1"/>
    <xf numFmtId="164" fontId="22" fillId="35" borderId="26" xfId="0" applyNumberFormat="1" applyFont="1" applyFill="1" applyBorder="1"/>
    <xf numFmtId="164" fontId="23" fillId="35" borderId="26" xfId="4" applyNumberFormat="1" applyFont="1" applyFill="1" applyBorder="1"/>
    <xf numFmtId="165" fontId="0" fillId="35" borderId="0" xfId="0" applyNumberFormat="1" applyFill="1"/>
    <xf numFmtId="165" fontId="0" fillId="31" borderId="0" xfId="0" applyNumberFormat="1" applyFill="1"/>
    <xf numFmtId="0" fontId="0" fillId="34" borderId="26" xfId="0" applyFill="1" applyBorder="1"/>
    <xf numFmtId="164" fontId="20" fillId="0" borderId="26" xfId="0" applyNumberFormat="1" applyFont="1" applyBorder="1"/>
    <xf numFmtId="164" fontId="20" fillId="28" borderId="26" xfId="0" applyNumberFormat="1" applyFont="1" applyFill="1" applyBorder="1"/>
    <xf numFmtId="0" fontId="20" fillId="0" borderId="26" xfId="0" applyFont="1" applyFill="1" applyBorder="1"/>
    <xf numFmtId="0" fontId="21" fillId="0" borderId="28" xfId="4" applyFont="1" applyFill="1" applyBorder="1"/>
    <xf numFmtId="0" fontId="0" fillId="0" borderId="26" xfId="0" applyBorder="1"/>
    <xf numFmtId="0" fontId="0" fillId="0" borderId="26" xfId="0" applyFill="1" applyBorder="1"/>
    <xf numFmtId="2" fontId="0" fillId="0" borderId="26" xfId="0" applyNumberFormat="1" applyFill="1" applyBorder="1"/>
    <xf numFmtId="0" fontId="0" fillId="31" borderId="26" xfId="0" applyFill="1" applyBorder="1"/>
    <xf numFmtId="164" fontId="20" fillId="0" borderId="26" xfId="0" applyNumberFormat="1" applyFont="1" applyFill="1" applyBorder="1"/>
    <xf numFmtId="0" fontId="20" fillId="29" borderId="26" xfId="0" applyFont="1" applyFill="1" applyBorder="1"/>
    <xf numFmtId="165" fontId="0" fillId="0" borderId="0" xfId="0" applyNumberFormat="1"/>
    <xf numFmtId="165" fontId="0" fillId="0" borderId="27" xfId="0" applyNumberFormat="1" applyBorder="1"/>
    <xf numFmtId="164" fontId="20" fillId="0" borderId="27" xfId="0" applyNumberFormat="1" applyFont="1" applyBorder="1"/>
    <xf numFmtId="0" fontId="21" fillId="0" borderId="28" xfId="4" applyFont="1" applyBorder="1"/>
    <xf numFmtId="164" fontId="0" fillId="32" borderId="26" xfId="0" applyNumberFormat="1" applyFill="1" applyBorder="1"/>
    <xf numFmtId="0" fontId="0" fillId="36" borderId="0" xfId="0" applyFill="1"/>
    <xf numFmtId="165" fontId="0" fillId="0" borderId="0" xfId="0" applyNumberFormat="1" applyBorder="1"/>
    <xf numFmtId="0" fontId="0" fillId="36" borderId="26" xfId="0" applyFill="1" applyBorder="1"/>
    <xf numFmtId="165" fontId="0" fillId="0" borderId="26" xfId="0" applyNumberFormat="1" applyBorder="1"/>
    <xf numFmtId="164" fontId="0" fillId="0" borderId="26" xfId="0" applyNumberFormat="1" applyBorder="1"/>
    <xf numFmtId="0" fontId="20" fillId="37" borderId="0" xfId="0" applyFont="1" applyFill="1"/>
    <xf numFmtId="165" fontId="0" fillId="37" borderId="0" xfId="0" applyNumberFormat="1" applyFill="1"/>
    <xf numFmtId="0" fontId="20" fillId="37" borderId="2" xfId="0" applyFont="1" applyFill="1" applyBorder="1"/>
    <xf numFmtId="0" fontId="20" fillId="37" borderId="0" xfId="0" applyFont="1" applyFill="1" applyBorder="1"/>
    <xf numFmtId="164" fontId="20" fillId="37" borderId="2" xfId="0" applyNumberFormat="1" applyFont="1" applyFill="1" applyBorder="1"/>
    <xf numFmtId="164" fontId="20" fillId="37" borderId="6" xfId="0" applyNumberFormat="1" applyFont="1" applyFill="1" applyBorder="1"/>
    <xf numFmtId="164" fontId="20" fillId="37" borderId="0" xfId="0" applyNumberFormat="1" applyFont="1" applyFill="1" applyBorder="1"/>
    <xf numFmtId="165" fontId="20" fillId="37" borderId="6" xfId="0" applyNumberFormat="1" applyFont="1" applyFill="1" applyBorder="1"/>
    <xf numFmtId="166" fontId="20" fillId="37" borderId="2" xfId="0" applyNumberFormat="1" applyFont="1" applyFill="1" applyBorder="1"/>
    <xf numFmtId="166" fontId="20" fillId="37" borderId="0" xfId="0" applyNumberFormat="1" applyFont="1" applyFill="1" applyBorder="1"/>
    <xf numFmtId="165" fontId="20" fillId="37" borderId="2" xfId="0" applyNumberFormat="1" applyFont="1" applyFill="1" applyBorder="1"/>
    <xf numFmtId="165" fontId="20" fillId="37" borderId="0" xfId="0" applyNumberFormat="1" applyFont="1" applyFill="1" applyBorder="1"/>
    <xf numFmtId="165" fontId="20" fillId="0" borderId="6" xfId="0" applyNumberFormat="1" applyFont="1" applyFill="1" applyBorder="1"/>
    <xf numFmtId="164" fontId="22" fillId="0" borderId="0" xfId="0" applyNumberFormat="1" applyFont="1" applyFill="1"/>
    <xf numFmtId="164" fontId="23" fillId="0" borderId="0" xfId="4" applyNumberFormat="1" applyFont="1" applyFill="1" applyBorder="1"/>
    <xf numFmtId="2" fontId="20" fillId="37" borderId="0" xfId="0" applyNumberFormat="1" applyFont="1" applyFill="1"/>
    <xf numFmtId="0" fontId="20" fillId="37" borderId="26" xfId="0" applyFont="1" applyFill="1" applyBorder="1"/>
    <xf numFmtId="2" fontId="20" fillId="37" borderId="26" xfId="0" applyNumberFormat="1" applyFont="1" applyFill="1" applyBorder="1"/>
    <xf numFmtId="0" fontId="20" fillId="37" borderId="28" xfId="0" applyFont="1" applyFill="1" applyBorder="1"/>
    <xf numFmtId="164" fontId="20" fillId="37" borderId="28" xfId="0" applyNumberFormat="1" applyFont="1" applyFill="1" applyBorder="1"/>
    <xf numFmtId="164" fontId="20" fillId="37" borderId="27" xfId="0" applyNumberFormat="1" applyFont="1" applyFill="1" applyBorder="1"/>
    <xf numFmtId="164" fontId="20" fillId="37" borderId="26" xfId="0" applyNumberFormat="1" applyFont="1" applyFill="1" applyBorder="1"/>
    <xf numFmtId="165" fontId="20" fillId="37" borderId="27" xfId="0" applyNumberFormat="1" applyFont="1" applyFill="1" applyBorder="1"/>
    <xf numFmtId="166" fontId="20" fillId="37" borderId="28" xfId="0" applyNumberFormat="1" applyFont="1" applyFill="1" applyBorder="1"/>
    <xf numFmtId="166" fontId="20" fillId="37" borderId="26" xfId="0" applyNumberFormat="1" applyFont="1" applyFill="1" applyBorder="1"/>
    <xf numFmtId="165" fontId="20" fillId="37" borderId="28" xfId="0" applyNumberFormat="1" applyFont="1" applyFill="1" applyBorder="1"/>
    <xf numFmtId="165" fontId="20" fillId="37" borderId="26" xfId="0" applyNumberFormat="1" applyFont="1" applyFill="1" applyBorder="1"/>
    <xf numFmtId="165" fontId="20" fillId="0" borderId="27" xfId="0" applyNumberFormat="1" applyFont="1" applyFill="1" applyBorder="1"/>
    <xf numFmtId="164" fontId="22" fillId="0" borderId="26" xfId="0" applyNumberFormat="1" applyFont="1" applyFill="1" applyBorder="1"/>
    <xf numFmtId="164" fontId="23" fillId="0" borderId="26" xfId="4" applyNumberFormat="1" applyFont="1" applyFill="1" applyBorder="1"/>
    <xf numFmtId="0" fontId="21" fillId="33" borderId="28" xfId="4" applyFont="1" applyFill="1" applyBorder="1"/>
    <xf numFmtId="0" fontId="0" fillId="33" borderId="26" xfId="0" applyFill="1" applyBorder="1"/>
    <xf numFmtId="164" fontId="0" fillId="0" borderId="26" xfId="0" applyNumberFormat="1" applyFill="1" applyBorder="1"/>
    <xf numFmtId="2" fontId="20" fillId="0" borderId="0" xfId="0" applyNumberFormat="1" applyFont="1" applyBorder="1"/>
    <xf numFmtId="164" fontId="0" fillId="18" borderId="0" xfId="0" applyNumberFormat="1" applyFill="1"/>
    <xf numFmtId="2" fontId="20" fillId="0" borderId="26" xfId="0" applyNumberFormat="1" applyFont="1" applyBorder="1"/>
    <xf numFmtId="2" fontId="0" fillId="0" borderId="26" xfId="0" applyNumberFormat="1" applyBorder="1"/>
    <xf numFmtId="0" fontId="0" fillId="36" borderId="29" xfId="0" applyFill="1" applyBorder="1"/>
    <xf numFmtId="0" fontId="20" fillId="0" borderId="29" xfId="0" applyFont="1" applyBorder="1"/>
    <xf numFmtId="2" fontId="20" fillId="0" borderId="29" xfId="0" applyNumberFormat="1" applyFont="1" applyBorder="1"/>
    <xf numFmtId="0" fontId="20" fillId="0" borderId="30" xfId="0" applyFont="1" applyBorder="1"/>
    <xf numFmtId="164" fontId="20" fillId="0" borderId="29" xfId="0" applyNumberFormat="1" applyFont="1" applyBorder="1"/>
    <xf numFmtId="164" fontId="20" fillId="0" borderId="29" xfId="0" applyNumberFormat="1" applyFont="1" applyFill="1" applyBorder="1"/>
    <xf numFmtId="165" fontId="20" fillId="0" borderId="29" xfId="0" applyNumberFormat="1" applyFont="1" applyBorder="1"/>
    <xf numFmtId="165" fontId="20" fillId="0" borderId="30" xfId="0" applyNumberFormat="1" applyFont="1" applyBorder="1"/>
    <xf numFmtId="0" fontId="20" fillId="0" borderId="29" xfId="0" applyFont="1" applyFill="1" applyBorder="1"/>
    <xf numFmtId="164" fontId="22" fillId="0" borderId="29" xfId="0" applyNumberFormat="1" applyFont="1" applyBorder="1"/>
    <xf numFmtId="164" fontId="23" fillId="0" borderId="29" xfId="4" applyNumberFormat="1" applyFont="1" applyBorder="1"/>
    <xf numFmtId="0" fontId="21" fillId="0" borderId="29" xfId="4" applyFont="1" applyBorder="1"/>
    <xf numFmtId="0" fontId="21" fillId="0" borderId="30" xfId="4" applyFont="1" applyFill="1" applyBorder="1"/>
    <xf numFmtId="0" fontId="0" fillId="0" borderId="29" xfId="0" applyFill="1" applyBorder="1"/>
    <xf numFmtId="0" fontId="0" fillId="31" borderId="29" xfId="0" applyFill="1" applyBorder="1"/>
    <xf numFmtId="0" fontId="0" fillId="0" borderId="29" xfId="0" applyBorder="1"/>
    <xf numFmtId="164" fontId="0" fillId="32" borderId="29" xfId="0" applyNumberFormat="1" applyFill="1" applyBorder="1"/>
    <xf numFmtId="164" fontId="0" fillId="18" borderId="29" xfId="0" applyNumberFormat="1" applyFill="1" applyBorder="1"/>
    <xf numFmtId="0" fontId="0" fillId="18" borderId="29" xfId="0" applyFill="1" applyBorder="1"/>
    <xf numFmtId="2" fontId="0" fillId="0" borderId="29" xfId="0" applyNumberFormat="1" applyFill="1" applyBorder="1"/>
    <xf numFmtId="164" fontId="20" fillId="31" borderId="28" xfId="0" applyNumberFormat="1" applyFont="1" applyFill="1" applyBorder="1"/>
    <xf numFmtId="164" fontId="20" fillId="31" borderId="27" xfId="0" applyNumberFormat="1" applyFont="1" applyFill="1" applyBorder="1"/>
    <xf numFmtId="2" fontId="20" fillId="0" borderId="0" xfId="0" applyNumberFormat="1" applyFont="1"/>
    <xf numFmtId="0" fontId="21" fillId="38" borderId="2" xfId="4" applyFont="1" applyFill="1" applyBorder="1"/>
    <xf numFmtId="0" fontId="0" fillId="38" borderId="0" xfId="0" applyFill="1"/>
    <xf numFmtId="2" fontId="20" fillId="0" borderId="0" xfId="0" applyNumberFormat="1" applyFont="1" applyFill="1" applyBorder="1"/>
    <xf numFmtId="0" fontId="20" fillId="0" borderId="2" xfId="0" applyFont="1" applyFill="1" applyBorder="1"/>
    <xf numFmtId="0" fontId="21" fillId="32" borderId="2" xfId="4" applyFont="1" applyFill="1" applyBorder="1"/>
    <xf numFmtId="164" fontId="0" fillId="0" borderId="2" xfId="0" applyNumberFormat="1" applyBorder="1"/>
    <xf numFmtId="0" fontId="0" fillId="5" borderId="0" xfId="0" applyFill="1" applyBorder="1"/>
    <xf numFmtId="1" fontId="0" fillId="5" borderId="0" xfId="0" applyNumberFormat="1" applyFill="1"/>
    <xf numFmtId="0" fontId="0" fillId="5" borderId="2" xfId="0" applyFill="1" applyBorder="1"/>
    <xf numFmtId="0" fontId="0" fillId="22" borderId="0" xfId="0" applyFill="1"/>
    <xf numFmtId="0" fontId="0" fillId="0" borderId="0" xfId="0" quotePrefix="1"/>
    <xf numFmtId="0" fontId="0" fillId="21" borderId="0" xfId="0" applyFill="1"/>
    <xf numFmtId="2" fontId="6" fillId="0" borderId="0" xfId="5" applyNumberFormat="1" applyFont="1"/>
    <xf numFmtId="0" fontId="6" fillId="0" borderId="0" xfId="5" applyFont="1"/>
    <xf numFmtId="165" fontId="6" fillId="0" borderId="2" xfId="5" applyNumberFormat="1" applyFont="1" applyBorder="1"/>
    <xf numFmtId="164" fontId="6" fillId="0" borderId="0" xfId="5" applyNumberFormat="1" applyFont="1"/>
    <xf numFmtId="0" fontId="6" fillId="0" borderId="0" xfId="5" applyFont="1" applyAlignment="1">
      <alignment wrapText="1"/>
    </xf>
    <xf numFmtId="0" fontId="6" fillId="0" borderId="2" xfId="5" applyFont="1" applyBorder="1" applyAlignment="1"/>
    <xf numFmtId="0" fontId="6" fillId="0" borderId="2" xfId="5" applyFont="1" applyBorder="1"/>
    <xf numFmtId="0" fontId="6" fillId="0" borderId="0" xfId="5" applyFont="1" applyBorder="1"/>
    <xf numFmtId="0" fontId="6" fillId="0" borderId="0" xfId="5" applyFont="1" applyFill="1"/>
    <xf numFmtId="1" fontId="6" fillId="0" borderId="0" xfId="5" applyNumberFormat="1" applyFont="1"/>
    <xf numFmtId="0" fontId="6" fillId="0" borderId="31" xfId="5" applyFont="1" applyBorder="1"/>
    <xf numFmtId="164" fontId="6" fillId="0" borderId="0" xfId="5" applyNumberFormat="1" applyFont="1" applyBorder="1"/>
    <xf numFmtId="2" fontId="7" fillId="0" borderId="0" xfId="5" applyNumberFormat="1" applyFont="1"/>
    <xf numFmtId="0" fontId="7" fillId="0" borderId="0" xfId="5" applyFont="1"/>
    <xf numFmtId="165" fontId="7" fillId="0" borderId="2" xfId="5" applyNumberFormat="1" applyFont="1" applyBorder="1"/>
    <xf numFmtId="164" fontId="7" fillId="0" borderId="0" xfId="5" applyNumberFormat="1" applyFont="1"/>
    <xf numFmtId="0" fontId="7" fillId="0" borderId="2" xfId="5" applyFont="1" applyBorder="1"/>
    <xf numFmtId="0" fontId="7" fillId="0" borderId="2" xfId="5" applyFont="1" applyBorder="1" applyAlignment="1">
      <alignment horizontal="center"/>
    </xf>
    <xf numFmtId="0" fontId="7" fillId="0" borderId="0" xfId="5" applyFont="1" applyAlignment="1">
      <alignment horizontal="center"/>
    </xf>
    <xf numFmtId="0" fontId="7" fillId="0" borderId="2" xfId="5" applyFont="1" applyBorder="1" applyAlignment="1">
      <alignment horizontal="left"/>
    </xf>
    <xf numFmtId="0" fontId="7" fillId="0" borderId="0" xfId="5" applyFont="1" applyBorder="1" applyAlignment="1">
      <alignment horizontal="center"/>
    </xf>
    <xf numFmtId="0" fontId="7" fillId="0" borderId="0" xfId="5" applyFont="1" applyAlignment="1">
      <alignment horizontal="left"/>
    </xf>
    <xf numFmtId="2" fontId="6" fillId="0" borderId="3" xfId="5" applyNumberFormat="1" applyFont="1" applyBorder="1" applyAlignment="1">
      <alignment wrapText="1"/>
    </xf>
    <xf numFmtId="2" fontId="6" fillId="0" borderId="3" xfId="5" applyNumberFormat="1" applyFont="1" applyBorder="1" applyAlignment="1">
      <alignment textRotation="90" wrapText="1"/>
    </xf>
    <xf numFmtId="0" fontId="6" fillId="0" borderId="3" xfId="5" applyFont="1" applyBorder="1" applyAlignment="1">
      <alignment textRotation="90" wrapText="1"/>
    </xf>
    <xf numFmtId="165" fontId="6" fillId="0" borderId="5" xfId="5" applyNumberFormat="1" applyFont="1" applyBorder="1" applyAlignment="1">
      <alignment wrapText="1"/>
    </xf>
    <xf numFmtId="164" fontId="6" fillId="0" borderId="3" xfId="5" applyNumberFormat="1" applyFont="1" applyBorder="1" applyAlignment="1">
      <alignment wrapText="1"/>
    </xf>
    <xf numFmtId="0" fontId="6" fillId="0" borderId="3" xfId="5" applyFont="1" applyBorder="1" applyAlignment="1">
      <alignment wrapText="1"/>
    </xf>
    <xf numFmtId="0" fontId="6" fillId="0" borderId="5" xfId="5" applyFont="1" applyBorder="1" applyAlignment="1">
      <alignment textRotation="90" wrapText="1"/>
    </xf>
    <xf numFmtId="0" fontId="6" fillId="0" borderId="5" xfId="5" applyFont="1" applyBorder="1" applyAlignment="1">
      <alignment wrapText="1"/>
    </xf>
    <xf numFmtId="0" fontId="6" fillId="0" borderId="3" xfId="5" applyFont="1" applyFill="1" applyBorder="1" applyAlignment="1">
      <alignment wrapText="1"/>
    </xf>
    <xf numFmtId="1" fontId="6" fillId="0" borderId="3" xfId="5" applyNumberFormat="1" applyFont="1" applyBorder="1" applyAlignment="1">
      <alignment wrapText="1"/>
    </xf>
    <xf numFmtId="0" fontId="10" fillId="0" borderId="3" xfId="5" applyFont="1" applyBorder="1" applyAlignment="1">
      <alignment wrapText="1"/>
    </xf>
    <xf numFmtId="0" fontId="6" fillId="0" borderId="2" xfId="5" applyFont="1" applyBorder="1" applyAlignment="1">
      <alignment wrapText="1"/>
    </xf>
    <xf numFmtId="0" fontId="6" fillId="0" borderId="0" xfId="5" applyFont="1" applyBorder="1" applyAlignment="1">
      <alignment wrapText="1"/>
    </xf>
    <xf numFmtId="0" fontId="6" fillId="0" borderId="0" xfId="5" applyFont="1" applyBorder="1" applyAlignment="1">
      <alignment textRotation="90" wrapText="1"/>
    </xf>
    <xf numFmtId="164" fontId="6" fillId="0" borderId="0" xfId="5" applyNumberFormat="1" applyFont="1" applyBorder="1" applyAlignment="1">
      <alignment textRotation="90" wrapText="1"/>
    </xf>
    <xf numFmtId="20" fontId="0" fillId="0" borderId="0" xfId="0" applyNumberFormat="1"/>
    <xf numFmtId="0" fontId="0" fillId="0" borderId="6" xfId="0" applyFill="1" applyBorder="1"/>
    <xf numFmtId="0" fontId="25" fillId="0" borderId="2" xfId="3" applyFont="1" applyBorder="1" applyAlignment="1" applyProtection="1"/>
    <xf numFmtId="0" fontId="0" fillId="21" borderId="2" xfId="0" applyFill="1" applyBorder="1"/>
    <xf numFmtId="0" fontId="25" fillId="0" borderId="0" xfId="3" applyFont="1" applyAlignment="1" applyProtection="1"/>
    <xf numFmtId="0" fontId="0" fillId="17" borderId="32" xfId="0" applyFill="1" applyBorder="1"/>
    <xf numFmtId="0" fontId="0" fillId="17" borderId="8" xfId="0" applyFill="1" applyBorder="1"/>
    <xf numFmtId="0" fontId="0" fillId="17" borderId="33" xfId="0" applyFill="1" applyBorder="1"/>
    <xf numFmtId="0" fontId="13" fillId="0" borderId="0" xfId="0" applyFont="1"/>
    <xf numFmtId="0" fontId="0" fillId="0" borderId="33" xfId="0" applyFill="1" applyBorder="1"/>
    <xf numFmtId="0" fontId="0" fillId="14" borderId="2" xfId="0" applyFill="1" applyBorder="1"/>
    <xf numFmtId="0" fontId="0" fillId="0" borderId="33" xfId="0" applyBorder="1"/>
    <xf numFmtId="0" fontId="25" fillId="0" borderId="2" xfId="3" applyFont="1" applyFill="1" applyBorder="1" applyAlignment="1" applyProtection="1"/>
    <xf numFmtId="0" fontId="0" fillId="11" borderId="33" xfId="0" applyFill="1" applyBorder="1"/>
    <xf numFmtId="0" fontId="0" fillId="0" borderId="0" xfId="0" applyFill="1" applyAlignment="1">
      <alignment wrapText="1"/>
    </xf>
    <xf numFmtId="0" fontId="0" fillId="15" borderId="33" xfId="0" applyFill="1" applyBorder="1"/>
    <xf numFmtId="0" fontId="0" fillId="39" borderId="0" xfId="0" applyFill="1"/>
    <xf numFmtId="0" fontId="0" fillId="40" borderId="10" xfId="0" applyFill="1" applyBorder="1"/>
    <xf numFmtId="0" fontId="26" fillId="0" borderId="0" xfId="0" applyFont="1" applyFill="1"/>
    <xf numFmtId="0" fontId="0" fillId="26" borderId="0" xfId="0" applyFill="1"/>
    <xf numFmtId="0" fontId="0" fillId="5" borderId="25" xfId="0" applyFill="1" applyBorder="1"/>
    <xf numFmtId="0" fontId="25" fillId="25" borderId="2" xfId="3" applyFont="1" applyFill="1" applyBorder="1" applyAlignment="1" applyProtection="1"/>
    <xf numFmtId="0" fontId="0" fillId="0" borderId="4" xfId="0" applyBorder="1" applyAlignment="1">
      <alignment wrapText="1"/>
    </xf>
    <xf numFmtId="165" fontId="0" fillId="0" borderId="25" xfId="0" applyNumberFormat="1" applyBorder="1"/>
    <xf numFmtId="164" fontId="0" fillId="0" borderId="4" xfId="0" applyNumberFormat="1" applyFill="1" applyBorder="1"/>
    <xf numFmtId="0" fontId="0" fillId="0" borderId="25" xfId="0" applyBorder="1"/>
    <xf numFmtId="0" fontId="0" fillId="21" borderId="4" xfId="0" applyFill="1" applyBorder="1"/>
    <xf numFmtId="0" fontId="25" fillId="0" borderId="25" xfId="3" applyFont="1" applyBorder="1" applyAlignment="1" applyProtection="1"/>
    <xf numFmtId="1" fontId="0" fillId="0" borderId="4" xfId="0" applyNumberFormat="1" applyBorder="1"/>
    <xf numFmtId="0" fontId="0" fillId="0" borderId="34" xfId="0" applyBorder="1"/>
    <xf numFmtId="0" fontId="0" fillId="40" borderId="12" xfId="0" applyFill="1" applyBorder="1"/>
    <xf numFmtId="0" fontId="0" fillId="21" borderId="25" xfId="0" applyFill="1" applyBorder="1"/>
    <xf numFmtId="0" fontId="0" fillId="0" borderId="0" xfId="0" applyAlignment="1">
      <alignment horizontal="center"/>
    </xf>
    <xf numFmtId="2" fontId="0" fillId="13" borderId="0" xfId="0" applyNumberFormat="1" applyFill="1"/>
    <xf numFmtId="0" fontId="10" fillId="13" borderId="0" xfId="0" applyFont="1" applyFill="1"/>
    <xf numFmtId="0" fontId="10" fillId="0" borderId="0" xfId="0" applyFont="1" applyFill="1"/>
    <xf numFmtId="0" fontId="27" fillId="0" borderId="0" xfId="0" applyFont="1"/>
    <xf numFmtId="0" fontId="28" fillId="0" borderId="2" xfId="0" applyFont="1" applyBorder="1"/>
    <xf numFmtId="1" fontId="0" fillId="0" borderId="2" xfId="0" applyNumberFormat="1" applyBorder="1"/>
    <xf numFmtId="0" fontId="10" fillId="0" borderId="2" xfId="0" applyFont="1" applyBorder="1" applyAlignment="1"/>
    <xf numFmtId="0" fontId="10" fillId="0" borderId="2" xfId="0" applyFont="1" applyBorder="1"/>
    <xf numFmtId="1" fontId="10" fillId="0" borderId="2" xfId="0" applyNumberFormat="1" applyFont="1" applyBorder="1"/>
    <xf numFmtId="2" fontId="6" fillId="0" borderId="0" xfId="0" applyNumberFormat="1" applyFont="1"/>
    <xf numFmtId="0" fontId="6" fillId="0" borderId="0" xfId="0" applyFont="1" applyFill="1" applyAlignment="1">
      <alignment wrapText="1"/>
    </xf>
    <xf numFmtId="0" fontId="6" fillId="0" borderId="2" xfId="0" applyFont="1" applyBorder="1" applyAlignment="1"/>
    <xf numFmtId="1" fontId="6" fillId="0" borderId="0" xfId="0" applyNumberFormat="1" applyFont="1"/>
    <xf numFmtId="1" fontId="6" fillId="0" borderId="2" xfId="0" applyNumberFormat="1" applyFont="1" applyBorder="1"/>
    <xf numFmtId="0" fontId="6" fillId="0" borderId="31" xfId="0" applyFont="1" applyBorder="1"/>
    <xf numFmtId="0" fontId="10" fillId="0" borderId="0" xfId="0" applyFont="1" applyAlignment="1">
      <alignment wrapText="1"/>
    </xf>
    <xf numFmtId="2" fontId="7" fillId="0" borderId="0" xfId="0" applyNumberFormat="1" applyFont="1"/>
    <xf numFmtId="0" fontId="7" fillId="0" borderId="0" xfId="0" applyFont="1" applyFill="1"/>
    <xf numFmtId="0" fontId="7" fillId="0" borderId="0" xfId="0" applyFont="1" applyAlignment="1">
      <alignment horizontal="center"/>
    </xf>
    <xf numFmtId="1" fontId="7" fillId="0" borderId="2" xfId="0" applyNumberFormat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10" fillId="0" borderId="0" xfId="0" applyFont="1" applyFill="1" applyBorder="1"/>
    <xf numFmtId="2" fontId="6" fillId="0" borderId="3" xfId="0" applyNumberFormat="1" applyFont="1" applyBorder="1" applyAlignment="1">
      <alignment textRotation="90"/>
    </xf>
    <xf numFmtId="2" fontId="6" fillId="0" borderId="3" xfId="0" applyNumberFormat="1" applyFont="1" applyBorder="1"/>
    <xf numFmtId="0" fontId="6" fillId="0" borderId="3" xfId="0" applyFont="1" applyBorder="1" applyAlignment="1">
      <alignment textRotation="90"/>
    </xf>
    <xf numFmtId="0" fontId="6" fillId="0" borderId="3" xfId="0" applyFont="1" applyBorder="1"/>
    <xf numFmtId="0" fontId="6" fillId="0" borderId="3" xfId="0" applyFont="1" applyFill="1" applyBorder="1" applyAlignment="1">
      <alignment textRotation="90"/>
    </xf>
    <xf numFmtId="0" fontId="6" fillId="0" borderId="3" xfId="0" applyFont="1" applyBorder="1" applyAlignment="1">
      <alignment textRotation="90" wrapText="1"/>
    </xf>
    <xf numFmtId="0" fontId="6" fillId="0" borderId="5" xfId="0" applyFont="1" applyBorder="1"/>
    <xf numFmtId="1" fontId="6" fillId="0" borderId="3" xfId="0" applyNumberFormat="1" applyFont="1" applyBorder="1"/>
    <xf numFmtId="0" fontId="6" fillId="0" borderId="3" xfId="0" applyFont="1" applyFill="1" applyBorder="1"/>
    <xf numFmtId="1" fontId="6" fillId="0" borderId="5" xfId="0" applyNumberFormat="1" applyFont="1" applyBorder="1" applyAlignment="1">
      <alignment textRotation="90"/>
    </xf>
    <xf numFmtId="0" fontId="10" fillId="0" borderId="3" xfId="0" applyFont="1" applyBorder="1"/>
    <xf numFmtId="1" fontId="10" fillId="0" borderId="3" xfId="0" applyNumberFormat="1" applyFont="1" applyBorder="1"/>
    <xf numFmtId="0" fontId="10" fillId="0" borderId="3" xfId="0" applyFont="1" applyBorder="1" applyAlignment="1">
      <alignment textRotation="90"/>
    </xf>
    <xf numFmtId="0" fontId="10" fillId="0" borderId="0" xfId="0" applyFont="1" applyBorder="1"/>
    <xf numFmtId="1" fontId="10" fillId="0" borderId="0" xfId="0" applyNumberFormat="1" applyFont="1" applyBorder="1"/>
    <xf numFmtId="0" fontId="29" fillId="0" borderId="2" xfId="3" applyFont="1" applyBorder="1" applyAlignment="1" applyProtection="1"/>
    <xf numFmtId="0" fontId="29" fillId="0" borderId="2" xfId="3" applyFont="1" applyFill="1" applyBorder="1" applyAlignment="1" applyProtection="1"/>
    <xf numFmtId="0" fontId="10" fillId="20" borderId="0" xfId="0" applyFont="1" applyFill="1"/>
    <xf numFmtId="0" fontId="10" fillId="0" borderId="2" xfId="0" applyFont="1" applyFill="1" applyBorder="1"/>
    <xf numFmtId="0" fontId="10" fillId="41" borderId="0" xfId="0" applyFont="1" applyFill="1"/>
    <xf numFmtId="0" fontId="10" fillId="40" borderId="0" xfId="0" applyFont="1" applyFill="1"/>
    <xf numFmtId="0" fontId="10" fillId="41" borderId="0" xfId="0" applyFont="1" applyFill="1" applyBorder="1"/>
    <xf numFmtId="2" fontId="0" fillId="33" borderId="0" xfId="0" applyNumberFormat="1" applyFill="1"/>
    <xf numFmtId="0" fontId="10" fillId="33" borderId="0" xfId="0" applyFont="1" applyFill="1"/>
    <xf numFmtId="0" fontId="0" fillId="42" borderId="0" xfId="0" applyFill="1"/>
    <xf numFmtId="0" fontId="29" fillId="0" borderId="0" xfId="3" applyFont="1" applyFill="1" applyBorder="1" applyAlignment="1" applyProtection="1"/>
    <xf numFmtId="0" fontId="10" fillId="24" borderId="0" xfId="0" applyFont="1" applyFill="1"/>
    <xf numFmtId="0" fontId="29" fillId="0" borderId="0" xfId="3" applyFont="1" applyBorder="1" applyAlignment="1" applyProtection="1"/>
    <xf numFmtId="0" fontId="10" fillId="20" borderId="0" xfId="0" applyFont="1" applyFill="1" applyBorder="1"/>
    <xf numFmtId="0" fontId="29" fillId="0" borderId="0" xfId="3" applyFont="1" applyAlignment="1" applyProtection="1"/>
    <xf numFmtId="0" fontId="10" fillId="0" borderId="4" xfId="0" applyFont="1" applyFill="1" applyBorder="1"/>
    <xf numFmtId="0" fontId="10" fillId="20" borderId="4" xfId="0" applyFont="1" applyFill="1" applyBorder="1"/>
    <xf numFmtId="0" fontId="10" fillId="0" borderId="4" xfId="0" applyFont="1" applyBorder="1"/>
    <xf numFmtId="0" fontId="10" fillId="0" borderId="25" xfId="0" applyFont="1" applyBorder="1"/>
    <xf numFmtId="1" fontId="10" fillId="0" borderId="25" xfId="0" applyNumberFormat="1" applyFont="1" applyBorder="1"/>
    <xf numFmtId="0" fontId="29" fillId="0" borderId="25" xfId="3" applyFont="1" applyBorder="1" applyAlignment="1" applyProtection="1"/>
    <xf numFmtId="0" fontId="29" fillId="0" borderId="4" xfId="3" applyFont="1" applyBorder="1" applyAlignment="1" applyProtection="1"/>
    <xf numFmtId="2" fontId="0" fillId="13" borderId="4" xfId="0" applyNumberFormat="1" applyFill="1" applyBorder="1"/>
    <xf numFmtId="0" fontId="10" fillId="13" borderId="4" xfId="0" applyFont="1" applyFill="1" applyBorder="1"/>
    <xf numFmtId="0" fontId="29" fillId="0" borderId="25" xfId="3" applyFont="1" applyFill="1" applyBorder="1" applyAlignment="1" applyProtection="1"/>
    <xf numFmtId="0" fontId="10" fillId="41" borderId="4" xfId="0" applyFont="1" applyFill="1" applyBorder="1"/>
    <xf numFmtId="0" fontId="0" fillId="26" borderId="4" xfId="0" applyFill="1" applyBorder="1"/>
    <xf numFmtId="0" fontId="0" fillId="43" borderId="0" xfId="0" applyFill="1"/>
    <xf numFmtId="0" fontId="10" fillId="27" borderId="4" xfId="0" applyFont="1" applyFill="1" applyBorder="1"/>
    <xf numFmtId="0" fontId="30" fillId="0" borderId="4" xfId="3" applyFont="1" applyBorder="1" applyAlignment="1" applyProtection="1"/>
    <xf numFmtId="0" fontId="0" fillId="23" borderId="4" xfId="0" applyFill="1" applyBorder="1"/>
    <xf numFmtId="1" fontId="0" fillId="23" borderId="4" xfId="0" applyNumberFormat="1" applyFill="1" applyBorder="1"/>
    <xf numFmtId="0" fontId="10" fillId="27" borderId="0" xfId="0" applyFont="1" applyFill="1"/>
    <xf numFmtId="0" fontId="10" fillId="0" borderId="0" xfId="0" applyNumberFormat="1" applyFont="1" applyFill="1"/>
    <xf numFmtId="0" fontId="30" fillId="0" borderId="0" xfId="3" applyFont="1" applyAlignment="1" applyProtection="1"/>
    <xf numFmtId="2" fontId="10" fillId="0" borderId="0" xfId="0" applyNumberFormat="1" applyFont="1"/>
    <xf numFmtId="0" fontId="7" fillId="33" borderId="0" xfId="0" applyFont="1" applyFill="1"/>
    <xf numFmtId="0" fontId="0" fillId="33" borderId="2" xfId="0" applyFill="1" applyBorder="1"/>
    <xf numFmtId="0" fontId="10" fillId="7" borderId="0" xfId="0" applyFont="1" applyFill="1"/>
    <xf numFmtId="0" fontId="10" fillId="42" borderId="0" xfId="0" applyFont="1" applyFill="1"/>
    <xf numFmtId="0" fontId="31" fillId="0" borderId="0" xfId="0" applyFont="1"/>
    <xf numFmtId="0" fontId="31" fillId="0" borderId="2" xfId="0" applyFont="1" applyBorder="1"/>
    <xf numFmtId="1" fontId="31" fillId="0" borderId="0" xfId="0" applyNumberFormat="1" applyFont="1"/>
    <xf numFmtId="1" fontId="32" fillId="0" borderId="2" xfId="0" applyNumberFormat="1" applyFont="1" applyBorder="1"/>
    <xf numFmtId="1" fontId="31" fillId="0" borderId="2" xfId="0" applyNumberFormat="1" applyFont="1" applyBorder="1"/>
    <xf numFmtId="0" fontId="32" fillId="0" borderId="2" xfId="0" applyFont="1" applyBorder="1"/>
    <xf numFmtId="0" fontId="32" fillId="0" borderId="0" xfId="0" applyFont="1"/>
    <xf numFmtId="0" fontId="33" fillId="0" borderId="0" xfId="0" applyFont="1"/>
    <xf numFmtId="165" fontId="34" fillId="0" borderId="0" xfId="0" applyNumberFormat="1" applyFont="1"/>
    <xf numFmtId="165" fontId="10" fillId="0" borderId="0" xfId="0" applyNumberFormat="1" applyFont="1"/>
    <xf numFmtId="0" fontId="7" fillId="44" borderId="0" xfId="0" applyFont="1" applyFill="1" applyAlignment="1">
      <alignment horizontal="left"/>
    </xf>
    <xf numFmtId="0" fontId="7" fillId="44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0" fillId="44" borderId="0" xfId="0" applyFont="1" applyFill="1"/>
    <xf numFmtId="0" fontId="0" fillId="44" borderId="0" xfId="0" applyFill="1"/>
    <xf numFmtId="0" fontId="0" fillId="0" borderId="0" xfId="0" applyAlignment="1">
      <alignment horizontal="left"/>
    </xf>
    <xf numFmtId="0" fontId="10" fillId="0" borderId="0" xfId="0" applyFont="1" applyBorder="1" applyAlignment="1"/>
    <xf numFmtId="0" fontId="10" fillId="0" borderId="2" xfId="0" applyFont="1" applyBorder="1" applyAlignment="1">
      <alignment wrapText="1"/>
    </xf>
    <xf numFmtId="0" fontId="35" fillId="0" borderId="16" xfId="0" applyFont="1" applyFill="1" applyBorder="1" applyAlignment="1">
      <alignment horizontal="center" wrapText="1"/>
    </xf>
    <xf numFmtId="0" fontId="35" fillId="0" borderId="0" xfId="0" applyFont="1" applyAlignment="1">
      <alignment horizontal="center" wrapText="1"/>
    </xf>
    <xf numFmtId="0" fontId="36" fillId="0" borderId="0" xfId="0" applyFont="1" applyAlignment="1">
      <alignment horizontal="center" wrapText="1"/>
    </xf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37" fillId="0" borderId="0" xfId="0" applyFont="1" applyAlignment="1">
      <alignment horizontal="center" wrapText="1"/>
    </xf>
    <xf numFmtId="0" fontId="38" fillId="0" borderId="0" xfId="0" applyFont="1" applyAlignment="1">
      <alignment horizontal="center" wrapText="1"/>
    </xf>
    <xf numFmtId="0" fontId="38" fillId="0" borderId="2" xfId="0" applyFont="1" applyBorder="1" applyAlignment="1">
      <alignment horizontal="center" wrapText="1"/>
    </xf>
    <xf numFmtId="0" fontId="38" fillId="44" borderId="0" xfId="0" applyFont="1" applyFill="1" applyAlignment="1">
      <alignment horizontal="center" wrapText="1"/>
    </xf>
    <xf numFmtId="0" fontId="38" fillId="0" borderId="0" xfId="0" applyFont="1" applyFill="1" applyAlignment="1">
      <alignment horizontal="center" textRotation="90" wrapText="1"/>
    </xf>
    <xf numFmtId="0" fontId="38" fillId="44" borderId="0" xfId="0" applyFont="1" applyFill="1" applyAlignment="1">
      <alignment horizontal="center" textRotation="90" wrapText="1"/>
    </xf>
    <xf numFmtId="0" fontId="10" fillId="0" borderId="0" xfId="0" applyFont="1" applyFill="1" applyAlignment="1">
      <alignment textRotation="90" wrapText="1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2" fontId="39" fillId="0" borderId="19" xfId="0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17" fontId="10" fillId="0" borderId="2" xfId="0" applyNumberFormat="1" applyFont="1" applyBorder="1"/>
    <xf numFmtId="0" fontId="0" fillId="15" borderId="7" xfId="0" applyFill="1" applyBorder="1"/>
    <xf numFmtId="0" fontId="0" fillId="15" borderId="8" xfId="0" applyFill="1" applyBorder="1"/>
    <xf numFmtId="0" fontId="0" fillId="0" borderId="3" xfId="0" applyBorder="1" applyAlignment="1">
      <alignment horizontal="center"/>
    </xf>
    <xf numFmtId="2" fontId="39" fillId="42" borderId="0" xfId="0" applyNumberFormat="1" applyFont="1" applyFill="1" applyBorder="1" applyAlignment="1">
      <alignment horizontal="center"/>
    </xf>
    <xf numFmtId="0" fontId="0" fillId="42" borderId="0" xfId="0" applyFill="1" applyBorder="1" applyAlignment="1">
      <alignment horizontal="center"/>
    </xf>
    <xf numFmtId="0" fontId="0" fillId="42" borderId="2" xfId="0" applyFill="1" applyBorder="1"/>
    <xf numFmtId="165" fontId="0" fillId="42" borderId="0" xfId="0" applyNumberFormat="1" applyFill="1"/>
    <xf numFmtId="0" fontId="0" fillId="42" borderId="0" xfId="0" applyFill="1" applyAlignment="1">
      <alignment horizontal="center"/>
    </xf>
    <xf numFmtId="0" fontId="0" fillId="42" borderId="9" xfId="0" applyFill="1" applyBorder="1"/>
    <xf numFmtId="0" fontId="0" fillId="42" borderId="10" xfId="0" applyFill="1" applyBorder="1"/>
    <xf numFmtId="2" fontId="39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39" fillId="0" borderId="22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0" fillId="13" borderId="2" xfId="0" applyFont="1" applyFill="1" applyBorder="1"/>
    <xf numFmtId="0" fontId="40" fillId="0" borderId="0" xfId="0" applyFont="1"/>
    <xf numFmtId="2" fontId="39" fillId="0" borderId="16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1" fillId="0" borderId="0" xfId="0" applyFont="1"/>
    <xf numFmtId="0" fontId="36" fillId="0" borderId="0" xfId="0" applyFont="1"/>
    <xf numFmtId="2" fontId="39" fillId="0" borderId="15" xfId="0" applyNumberFormat="1" applyFont="1" applyFill="1" applyBorder="1" applyAlignment="1">
      <alignment horizontal="center"/>
    </xf>
    <xf numFmtId="0" fontId="39" fillId="0" borderId="0" xfId="0" applyFont="1" applyFill="1" applyAlignment="1">
      <alignment horizontal="center"/>
    </xf>
    <xf numFmtId="0" fontId="0" fillId="15" borderId="11" xfId="0" applyFill="1" applyBorder="1"/>
    <xf numFmtId="165" fontId="0" fillId="0" borderId="0" xfId="0" applyNumberFormat="1" applyFill="1"/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5" fillId="0" borderId="35" xfId="0" applyFont="1" applyFill="1" applyBorder="1" applyAlignment="1">
      <alignment horizontal="center" wrapText="1"/>
    </xf>
    <xf numFmtId="0" fontId="0" fillId="0" borderId="35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40" fillId="0" borderId="31" xfId="0" applyFont="1" applyFill="1" applyBorder="1" applyAlignment="1">
      <alignment horizontal="left"/>
    </xf>
    <xf numFmtId="0" fontId="0" fillId="0" borderId="36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0" fillId="0" borderId="2" xfId="0" applyFont="1" applyFill="1" applyBorder="1" applyAlignment="1">
      <alignment horizontal="center"/>
    </xf>
    <xf numFmtId="0" fontId="40" fillId="0" borderId="31" xfId="0" applyFont="1" applyFill="1" applyBorder="1" applyAlignment="1">
      <alignment horizontal="center"/>
    </xf>
    <xf numFmtId="16" fontId="0" fillId="0" borderId="35" xfId="0" applyNumberFormat="1" applyFont="1" applyFill="1" applyBorder="1" applyAlignment="1">
      <alignment horizontal="center"/>
    </xf>
    <xf numFmtId="16" fontId="0" fillId="0" borderId="36" xfId="0" applyNumberFormat="1" applyFont="1" applyFill="1" applyBorder="1" applyAlignment="1">
      <alignment horizontal="center"/>
    </xf>
    <xf numFmtId="0" fontId="0" fillId="0" borderId="37" xfId="0" applyFont="1" applyFill="1" applyBorder="1" applyAlignment="1">
      <alignment horizontal="center"/>
    </xf>
    <xf numFmtId="0" fontId="40" fillId="0" borderId="37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Border="1" applyAlignment="1">
      <alignment horizontal="left"/>
    </xf>
    <xf numFmtId="0" fontId="42" fillId="0" borderId="0" xfId="0" applyFont="1" applyBorder="1"/>
    <xf numFmtId="2" fontId="0" fillId="0" borderId="0" xfId="0" applyNumberForma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21" borderId="0" xfId="0" applyFill="1" applyBorder="1"/>
    <xf numFmtId="0" fontId="0" fillId="45" borderId="0" xfId="0" applyFill="1" applyBorder="1"/>
    <xf numFmtId="2" fontId="0" fillId="14" borderId="0" xfId="0" applyNumberFormat="1" applyFill="1" applyBorder="1"/>
    <xf numFmtId="164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0" fillId="13" borderId="0" xfId="0" applyNumberFormat="1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2" fontId="0" fillId="13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2" borderId="0" xfId="0" applyFill="1" applyBorder="1"/>
    <xf numFmtId="0" fontId="43" fillId="0" borderId="0" xfId="0" applyFont="1" applyAlignment="1">
      <alignment vertical="center"/>
    </xf>
    <xf numFmtId="0" fontId="34" fillId="0" borderId="0" xfId="0" applyFont="1" applyAlignment="1">
      <alignment horizontal="right"/>
    </xf>
    <xf numFmtId="2" fontId="3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4" fillId="0" borderId="0" xfId="0" applyNumberFormat="1" applyFont="1"/>
    <xf numFmtId="0" fontId="4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7" fillId="23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6" xfId="0" applyFont="1" applyBorder="1" applyAlignment="1">
      <alignment horizontal="center" textRotation="90" wrapText="1"/>
    </xf>
    <xf numFmtId="0" fontId="6" fillId="7" borderId="2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center"/>
    </xf>
    <xf numFmtId="0" fontId="3" fillId="3" borderId="2" xfId="2" applyBorder="1" applyAlignment="1">
      <alignment horizontal="center" wrapText="1"/>
    </xf>
    <xf numFmtId="0" fontId="3" fillId="3" borderId="0" xfId="2" applyBorder="1" applyAlignment="1">
      <alignment horizontal="center" wrapText="1"/>
    </xf>
    <xf numFmtId="0" fontId="1" fillId="19" borderId="0" xfId="1" applyFont="1" applyFill="1" applyBorder="1" applyAlignment="1">
      <alignment horizontal="left" wrapText="1"/>
    </xf>
    <xf numFmtId="0" fontId="18" fillId="0" borderId="3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0" fillId="0" borderId="0" xfId="0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164" fontId="17" fillId="0" borderId="22" xfId="0" applyNumberFormat="1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164" fontId="17" fillId="0" borderId="23" xfId="0" applyNumberFormat="1" applyFont="1" applyBorder="1" applyAlignment="1">
      <alignment horizontal="center" vertical="center"/>
    </xf>
    <xf numFmtId="164" fontId="17" fillId="0" borderId="24" xfId="0" applyNumberFormat="1" applyFont="1" applyBorder="1" applyAlignment="1">
      <alignment horizontal="center" vertical="center"/>
    </xf>
    <xf numFmtId="164" fontId="17" fillId="0" borderId="22" xfId="0" applyNumberFormat="1" applyFont="1" applyFill="1" applyBorder="1" applyAlignment="1">
      <alignment horizontal="center" vertical="center"/>
    </xf>
    <xf numFmtId="164" fontId="17" fillId="0" borderId="25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165" fontId="17" fillId="0" borderId="23" xfId="0" applyNumberFormat="1" applyFont="1" applyBorder="1" applyAlignment="1">
      <alignment horizontal="center" vertical="center"/>
    </xf>
    <xf numFmtId="165" fontId="17" fillId="0" borderId="24" xfId="0" applyNumberFormat="1" applyFont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7" fillId="0" borderId="0" xfId="5" applyFont="1" applyAlignment="1">
      <alignment horizontal="center"/>
    </xf>
    <xf numFmtId="0" fontId="7" fillId="0" borderId="6" xfId="5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2" xfId="0" applyFont="1" applyBorder="1" applyAlignment="1">
      <alignment horizontal="center"/>
    </xf>
    <xf numFmtId="0" fontId="34" fillId="0" borderId="0" xfId="0" applyFont="1" applyAlignment="1">
      <alignment horizontal="center"/>
    </xf>
    <xf numFmtId="165" fontId="48" fillId="0" borderId="38" xfId="0" applyNumberFormat="1" applyFont="1" applyBorder="1" applyProtection="1">
      <protection locked="0"/>
    </xf>
    <xf numFmtId="167" fontId="10" fillId="0" borderId="0" xfId="0" applyNumberFormat="1" applyFont="1" applyBorder="1" applyProtection="1">
      <protection locked="0"/>
    </xf>
    <xf numFmtId="167" fontId="10" fillId="0" borderId="0" xfId="0" applyNumberFormat="1" applyFont="1" applyAlignment="1" applyProtection="1">
      <alignment wrapText="1"/>
      <protection locked="0"/>
    </xf>
    <xf numFmtId="0" fontId="7" fillId="0" borderId="39" xfId="0" applyFont="1" applyFill="1" applyBorder="1" applyAlignment="1" applyProtection="1">
      <protection locked="0"/>
    </xf>
    <xf numFmtId="168" fontId="48" fillId="0" borderId="6" xfId="0" applyNumberFormat="1" applyFont="1" applyBorder="1" applyAlignment="1" applyProtection="1">
      <protection locked="0"/>
    </xf>
    <xf numFmtId="166" fontId="48" fillId="0" borderId="0" xfId="0" applyNumberFormat="1" applyFont="1" applyProtection="1">
      <protection locked="0"/>
    </xf>
    <xf numFmtId="165" fontId="0" fillId="0" borderId="6" xfId="0" applyNumberForma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2" fontId="7" fillId="0" borderId="39" xfId="0" applyNumberFormat="1" applyFont="1" applyBorder="1" applyProtection="1">
      <protection locked="0"/>
    </xf>
    <xf numFmtId="2" fontId="10" fillId="0" borderId="0" xfId="0" applyNumberFormat="1" applyFont="1" applyProtection="1">
      <protection locked="0"/>
    </xf>
    <xf numFmtId="168" fontId="10" fillId="0" borderId="6" xfId="0" applyNumberFormat="1" applyFont="1" applyFill="1" applyBorder="1" applyProtection="1">
      <protection locked="0"/>
    </xf>
    <xf numFmtId="166" fontId="10" fillId="0" borderId="40" xfId="0" applyNumberFormat="1" applyFont="1" applyFill="1" applyBorder="1" applyProtection="1">
      <protection locked="0"/>
    </xf>
    <xf numFmtId="0" fontId="52" fillId="0" borderId="0" xfId="0" applyFont="1" applyAlignment="1">
      <alignment wrapText="1"/>
    </xf>
    <xf numFmtId="165" fontId="0" fillId="0" borderId="24" xfId="0" applyNumberFormat="1" applyBorder="1" applyProtection="1">
      <protection locked="0"/>
    </xf>
    <xf numFmtId="0" fontId="0" fillId="0" borderId="4" xfId="0" applyBorder="1" applyProtection="1">
      <protection locked="0"/>
    </xf>
    <xf numFmtId="168" fontId="0" fillId="0" borderId="24" xfId="0" applyNumberFormat="1" applyBorder="1" applyProtection="1">
      <protection locked="0"/>
    </xf>
    <xf numFmtId="166" fontId="0" fillId="0" borderId="41" xfId="0" applyNumberFormat="1" applyBorder="1" applyProtection="1">
      <protection locked="0"/>
    </xf>
    <xf numFmtId="0" fontId="0" fillId="46" borderId="37" xfId="0" applyFill="1" applyBorder="1"/>
    <xf numFmtId="0" fontId="47" fillId="0" borderId="0" xfId="0" applyFont="1" applyFill="1" applyBorder="1"/>
    <xf numFmtId="0" fontId="47" fillId="0" borderId="0" xfId="0" applyFont="1" applyFill="1"/>
  </cellXfs>
  <cellStyles count="6">
    <cellStyle name="Check Cell" xfId="2" builtinId="23"/>
    <cellStyle name="Hyperlink" xfId="3" builtinId="8"/>
    <cellStyle name="Neutral" xfId="1" builtinId="28"/>
    <cellStyle name="Normal" xfId="0" builtinId="0"/>
    <cellStyle name="Normal 2" xfId="5"/>
    <cellStyle name="Normal_AMS" xfId="4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29</xdr:col>
      <xdr:colOff>219075</xdr:colOff>
      <xdr:row>208</xdr:row>
      <xdr:rowOff>76200</xdr:rowOff>
    </xdr:from>
    <xdr:to>
      <xdr:col>38</xdr:col>
      <xdr:colOff>488763</xdr:colOff>
      <xdr:row>240</xdr:row>
      <xdr:rowOff>104775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54200" y="39709725"/>
          <a:ext cx="4511488" cy="6124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cend/chemostrat/UK_midlands/UK_xls_data_files/BQ_CL_HEF%20chrm(x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ranscend/chemostrat/howgills/Backside%20Beck-AMS-MS-ChR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ardo%20i%20M&#243;jcza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ieldinfo"/>
      <sheetName val="cl-chrm"/>
      <sheetName val="bq_hef-chrm"/>
      <sheetName val="BQ-sample hts"/>
      <sheetName val="BQ ms"/>
      <sheetName val="isotopes"/>
      <sheetName val="Sheet1"/>
    </sheetNames>
    <sheetDataSet>
      <sheetData sheetId="0"/>
      <sheetData sheetId="1" refreshError="1"/>
      <sheetData sheetId="2">
        <row r="7">
          <cell r="B7">
            <v>-9.9</v>
          </cell>
        </row>
      </sheetData>
      <sheetData sheetId="3"/>
      <sheetData sheetId="4">
        <row r="13">
          <cell r="G13" t="str">
            <v>pale brown sst</v>
          </cell>
        </row>
        <row r="14">
          <cell r="G14" t="str">
            <v>grey sst</v>
          </cell>
        </row>
        <row r="25">
          <cell r="G25" t="str">
            <v>sst</v>
          </cell>
        </row>
        <row r="53">
          <cell r="G53" t="str">
            <v>pale grey, lam sst</v>
          </cell>
        </row>
        <row r="54">
          <cell r="G54" t="str">
            <v>dk grey, laminated sst</v>
          </cell>
        </row>
        <row r="56">
          <cell r="G56" t="str">
            <v>dk grey sst</v>
          </cell>
        </row>
        <row r="58">
          <cell r="G58" t="str">
            <v>sst</v>
          </cell>
        </row>
        <row r="60">
          <cell r="G60" t="str">
            <v>grey</v>
          </cell>
        </row>
        <row r="61">
          <cell r="G61" t="str">
            <v>pale grey</v>
          </cell>
        </row>
        <row r="75">
          <cell r="G75" t="str">
            <v>grey</v>
          </cell>
        </row>
        <row r="82">
          <cell r="G82" t="str">
            <v>grey</v>
          </cell>
        </row>
        <row r="88">
          <cell r="G88" t="str">
            <v>grey</v>
          </cell>
        </row>
        <row r="90">
          <cell r="G90" t="str">
            <v>grey sst</v>
          </cell>
        </row>
        <row r="92">
          <cell r="G92" t="str">
            <v>grey sst</v>
          </cell>
        </row>
        <row r="96">
          <cell r="G96" t="str">
            <v>grey</v>
          </cell>
        </row>
        <row r="99">
          <cell r="G99" t="str">
            <v>grey</v>
          </cell>
        </row>
        <row r="101">
          <cell r="G101" t="str">
            <v>grey</v>
          </cell>
        </row>
        <row r="120">
          <cell r="G120" t="str">
            <v>pale grey</v>
          </cell>
        </row>
        <row r="124">
          <cell r="G124" t="str">
            <v>green-grey</v>
          </cell>
        </row>
        <row r="126">
          <cell r="G126" t="str">
            <v>brown</v>
          </cell>
        </row>
        <row r="128">
          <cell r="G128" t="str">
            <v>grey</v>
          </cell>
        </row>
        <row r="130">
          <cell r="G130" t="str">
            <v>pale brown sst</v>
          </cell>
        </row>
        <row r="132">
          <cell r="G132" t="str">
            <v>pale sst</v>
          </cell>
        </row>
        <row r="135">
          <cell r="G135" t="str">
            <v>dk grey sst</v>
          </cell>
        </row>
        <row r="138">
          <cell r="G138" t="str">
            <v>green-grey</v>
          </cell>
        </row>
        <row r="140">
          <cell r="G140" t="str">
            <v>pale green-grey</v>
          </cell>
        </row>
        <row r="142">
          <cell r="G142" t="str">
            <v>green-grey</v>
          </cell>
        </row>
        <row r="148">
          <cell r="G148" t="str">
            <v>green-grey</v>
          </cell>
        </row>
        <row r="158">
          <cell r="G158" t="str">
            <v>green-grey</v>
          </cell>
        </row>
        <row r="162">
          <cell r="G162" t="str">
            <v>pale grey</v>
          </cell>
        </row>
        <row r="164">
          <cell r="G164" t="str">
            <v>dk grey+pale grey- one mislabllede??</v>
          </cell>
        </row>
        <row r="166">
          <cell r="G166" t="str">
            <v>dk grey</v>
          </cell>
        </row>
        <row r="169">
          <cell r="G169" t="str">
            <v>pale grey</v>
          </cell>
        </row>
        <row r="171">
          <cell r="G171" t="str">
            <v>grey</v>
          </cell>
        </row>
        <row r="173">
          <cell r="G173" t="str">
            <v>grey</v>
          </cell>
        </row>
        <row r="175">
          <cell r="G175" t="str">
            <v>grey to pale grey</v>
          </cell>
        </row>
        <row r="177">
          <cell r="G177" t="str">
            <v>pale grey</v>
          </cell>
        </row>
        <row r="179">
          <cell r="G179" t="str">
            <v>dk grey</v>
          </cell>
        </row>
        <row r="181">
          <cell r="G181" t="str">
            <v>dk grey-green</v>
          </cell>
        </row>
        <row r="186">
          <cell r="G186" t="str">
            <v>pale grey</v>
          </cell>
        </row>
        <row r="188">
          <cell r="G188" t="str">
            <v>grey</v>
          </cell>
        </row>
        <row r="190">
          <cell r="G190" t="str">
            <v>grey</v>
          </cell>
        </row>
        <row r="192">
          <cell r="G192" t="str">
            <v>pale grey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MS"/>
      <sheetName val="fieldinfo"/>
      <sheetName val="chemostrat_sus"/>
      <sheetName val="Mag Sus"/>
      <sheetName val="ht calc"/>
      <sheetName val="ChRM"/>
      <sheetName val="AMS_raw"/>
      <sheetName val="AMS_byFm"/>
      <sheetName val="ams-types"/>
      <sheetName val="Sheet1"/>
    </sheetNames>
    <sheetDataSet>
      <sheetData sheetId="0">
        <row r="5">
          <cell r="V5">
            <v>3.077526217779083</v>
          </cell>
        </row>
      </sheetData>
      <sheetData sheetId="1"/>
      <sheetData sheetId="2" refreshError="1"/>
      <sheetData sheetId="3" refreshError="1"/>
      <sheetData sheetId="4" refreshError="1"/>
      <sheetData sheetId="5">
        <row r="7">
          <cell r="C7">
            <v>74.900000000000006</v>
          </cell>
        </row>
      </sheetData>
      <sheetData sheetId="6">
        <row r="3">
          <cell r="A3" t="str">
            <v>BB10_2</v>
          </cell>
          <cell r="G3">
            <v>288.8</v>
          </cell>
          <cell r="H3">
            <v>8.3000000000000004E-2</v>
          </cell>
          <cell r="M3">
            <v>1.0299</v>
          </cell>
          <cell r="N3">
            <v>0.99909999999999999</v>
          </cell>
          <cell r="O3">
            <v>0.97099999999999997</v>
          </cell>
          <cell r="S3">
            <v>0.70899999999999996</v>
          </cell>
          <cell r="T3">
            <v>0.998</v>
          </cell>
          <cell r="U3">
            <v>-3.2000000000000001E-2</v>
          </cell>
          <cell r="V3">
            <v>-4.5999999999999999E-2</v>
          </cell>
          <cell r="AD3">
            <v>192</v>
          </cell>
          <cell r="AE3">
            <v>33</v>
          </cell>
          <cell r="AG3">
            <v>24</v>
          </cell>
          <cell r="AH3">
            <v>57</v>
          </cell>
          <cell r="AJ3">
            <v>285</v>
          </cell>
          <cell r="AK3">
            <v>6</v>
          </cell>
          <cell r="AM3">
            <v>168</v>
          </cell>
          <cell r="AN3">
            <v>65</v>
          </cell>
          <cell r="AQ3">
            <v>351</v>
          </cell>
          <cell r="AR3">
            <v>25</v>
          </cell>
        </row>
        <row r="4">
          <cell r="A4" t="str">
            <v>BB10_3</v>
          </cell>
          <cell r="G4">
            <v>302</v>
          </cell>
          <cell r="H4">
            <v>7.1999999999999995E-2</v>
          </cell>
          <cell r="M4">
            <v>1.0284</v>
          </cell>
          <cell r="N4">
            <v>0.99880000000000002</v>
          </cell>
          <cell r="O4">
            <v>0.97270000000000001</v>
          </cell>
          <cell r="S4">
            <v>0.72499999999999998</v>
          </cell>
          <cell r="T4">
            <v>0.997</v>
          </cell>
          <cell r="U4">
            <v>-0.05</v>
          </cell>
          <cell r="V4">
            <v>-6.4000000000000001E-2</v>
          </cell>
          <cell r="AD4">
            <v>193</v>
          </cell>
          <cell r="AE4">
            <v>31</v>
          </cell>
          <cell r="AG4">
            <v>25</v>
          </cell>
          <cell r="AH4">
            <v>59</v>
          </cell>
          <cell r="AJ4">
            <v>286</v>
          </cell>
          <cell r="AK4">
            <v>5</v>
          </cell>
          <cell r="AM4">
            <v>174</v>
          </cell>
          <cell r="AN4">
            <v>66</v>
          </cell>
          <cell r="AQ4">
            <v>351</v>
          </cell>
          <cell r="AR4">
            <v>24</v>
          </cell>
        </row>
        <row r="5">
          <cell r="A5" t="str">
            <v>BB10_4</v>
          </cell>
          <cell r="G5">
            <v>319.2</v>
          </cell>
          <cell r="H5">
            <v>0.09</v>
          </cell>
          <cell r="M5">
            <v>1.0293000000000001</v>
          </cell>
          <cell r="N5">
            <v>0.99839999999999995</v>
          </cell>
          <cell r="O5">
            <v>0.97230000000000005</v>
          </cell>
          <cell r="S5">
            <v>0.74399999999999999</v>
          </cell>
          <cell r="T5">
            <v>0.996</v>
          </cell>
          <cell r="U5">
            <v>-7.0000000000000007E-2</v>
          </cell>
          <cell r="V5">
            <v>-8.5000000000000006E-2</v>
          </cell>
          <cell r="AD5">
            <v>193</v>
          </cell>
          <cell r="AE5">
            <v>34</v>
          </cell>
          <cell r="AG5">
            <v>25</v>
          </cell>
          <cell r="AH5">
            <v>55</v>
          </cell>
          <cell r="AJ5">
            <v>287</v>
          </cell>
          <cell r="AK5">
            <v>5</v>
          </cell>
          <cell r="AM5">
            <v>165</v>
          </cell>
          <cell r="AN5">
            <v>66</v>
          </cell>
          <cell r="AQ5">
            <v>352</v>
          </cell>
          <cell r="AR5">
            <v>24</v>
          </cell>
        </row>
        <row r="6">
          <cell r="A6" t="str">
            <v>BB11_2</v>
          </cell>
          <cell r="G6">
            <v>335.1</v>
          </cell>
          <cell r="H6">
            <v>0.19600000000000001</v>
          </cell>
          <cell r="M6">
            <v>1.0167999999999999</v>
          </cell>
          <cell r="N6">
            <v>0.99819999999999998</v>
          </cell>
          <cell r="O6">
            <v>0.98499999999999999</v>
          </cell>
          <cell r="S6">
            <v>0.82899999999999996</v>
          </cell>
          <cell r="T6">
            <v>0.995</v>
          </cell>
          <cell r="U6">
            <v>-0.16400000000000001</v>
          </cell>
          <cell r="V6">
            <v>-0.17199999999999999</v>
          </cell>
          <cell r="AD6">
            <v>17</v>
          </cell>
          <cell r="AE6">
            <v>37</v>
          </cell>
          <cell r="AG6">
            <v>160</v>
          </cell>
          <cell r="AH6">
            <v>47</v>
          </cell>
          <cell r="AJ6">
            <v>272</v>
          </cell>
          <cell r="AK6">
            <v>19</v>
          </cell>
          <cell r="AM6">
            <v>144</v>
          </cell>
          <cell r="AN6">
            <v>11</v>
          </cell>
          <cell r="AQ6">
            <v>251</v>
          </cell>
          <cell r="AR6">
            <v>55</v>
          </cell>
        </row>
        <row r="7">
          <cell r="A7" t="str">
            <v>BB11_3</v>
          </cell>
          <cell r="G7">
            <v>393.7</v>
          </cell>
          <cell r="H7">
            <v>6.2E-2</v>
          </cell>
          <cell r="M7">
            <v>1.0196000000000001</v>
          </cell>
          <cell r="N7">
            <v>0.995</v>
          </cell>
          <cell r="O7">
            <v>0.98540000000000005</v>
          </cell>
          <cell r="S7">
            <v>1.121</v>
          </cell>
          <cell r="T7">
            <v>0.98499999999999999</v>
          </cell>
          <cell r="U7">
            <v>-0.43</v>
          </cell>
          <cell r="V7">
            <v>-0.437</v>
          </cell>
          <cell r="AD7">
            <v>11</v>
          </cell>
          <cell r="AE7">
            <v>35</v>
          </cell>
          <cell r="AG7">
            <v>174</v>
          </cell>
          <cell r="AH7">
            <v>54</v>
          </cell>
          <cell r="AJ7">
            <v>275</v>
          </cell>
          <cell r="AK7">
            <v>8</v>
          </cell>
          <cell r="AM7">
            <v>145</v>
          </cell>
          <cell r="AN7">
            <v>6</v>
          </cell>
          <cell r="AQ7">
            <v>249</v>
          </cell>
          <cell r="AR7">
            <v>66</v>
          </cell>
        </row>
        <row r="8">
          <cell r="A8" t="str">
            <v>BB11_4</v>
          </cell>
          <cell r="G8">
            <v>371.4</v>
          </cell>
          <cell r="H8">
            <v>0.10299999999999999</v>
          </cell>
          <cell r="M8">
            <v>1.0173000000000001</v>
          </cell>
          <cell r="N8">
            <v>0.998</v>
          </cell>
          <cell r="O8">
            <v>0.98480000000000001</v>
          </cell>
          <cell r="S8">
            <v>0.84299999999999997</v>
          </cell>
          <cell r="T8">
            <v>0.99399999999999999</v>
          </cell>
          <cell r="U8">
            <v>-0.17799999999999999</v>
          </cell>
          <cell r="V8">
            <v>-0.186</v>
          </cell>
          <cell r="AD8">
            <v>14</v>
          </cell>
          <cell r="AE8">
            <v>36</v>
          </cell>
          <cell r="AG8">
            <v>173</v>
          </cell>
          <cell r="AH8">
            <v>52</v>
          </cell>
          <cell r="AJ8">
            <v>276</v>
          </cell>
          <cell r="AK8">
            <v>10</v>
          </cell>
          <cell r="AM8">
            <v>145</v>
          </cell>
          <cell r="AN8">
            <v>8</v>
          </cell>
          <cell r="AQ8">
            <v>254</v>
          </cell>
          <cell r="AR8">
            <v>65</v>
          </cell>
        </row>
        <row r="9">
          <cell r="A9" t="str">
            <v>BB13_2</v>
          </cell>
          <cell r="G9">
            <v>510</v>
          </cell>
          <cell r="H9">
            <v>7.1999999999999995E-2</v>
          </cell>
          <cell r="M9">
            <v>1.0241</v>
          </cell>
          <cell r="N9">
            <v>0.9909</v>
          </cell>
          <cell r="O9">
            <v>0.98499999999999999</v>
          </cell>
          <cell r="S9">
            <v>1.476</v>
          </cell>
          <cell r="T9">
            <v>0.97299999999999998</v>
          </cell>
          <cell r="U9">
            <v>-0.69299999999999995</v>
          </cell>
          <cell r="V9">
            <v>-0.69799999999999995</v>
          </cell>
          <cell r="AD9">
            <v>167</v>
          </cell>
          <cell r="AE9">
            <v>61</v>
          </cell>
          <cell r="AG9">
            <v>331</v>
          </cell>
          <cell r="AH9">
            <v>28</v>
          </cell>
          <cell r="AJ9">
            <v>64</v>
          </cell>
          <cell r="AK9">
            <v>7</v>
          </cell>
          <cell r="AM9">
            <v>114</v>
          </cell>
          <cell r="AN9">
            <v>76</v>
          </cell>
          <cell r="AQ9">
            <v>337</v>
          </cell>
          <cell r="AR9">
            <v>10</v>
          </cell>
        </row>
        <row r="10">
          <cell r="A10" t="str">
            <v>BB13_4</v>
          </cell>
          <cell r="G10">
            <v>477.9</v>
          </cell>
          <cell r="H10">
            <v>8.4000000000000005E-2</v>
          </cell>
          <cell r="M10">
            <v>1.0234000000000001</v>
          </cell>
          <cell r="N10">
            <v>0.99060000000000004</v>
          </cell>
          <cell r="O10">
            <v>0.98599999999999999</v>
          </cell>
          <cell r="S10">
            <v>1.5589999999999999</v>
          </cell>
          <cell r="T10">
            <v>0.97199999999999998</v>
          </cell>
          <cell r="U10">
            <v>-0.748</v>
          </cell>
          <cell r="V10">
            <v>-0.752</v>
          </cell>
          <cell r="AD10">
            <v>168</v>
          </cell>
          <cell r="AE10">
            <v>63</v>
          </cell>
          <cell r="AG10">
            <v>331</v>
          </cell>
          <cell r="AH10">
            <v>26</v>
          </cell>
          <cell r="AJ10">
            <v>65</v>
          </cell>
          <cell r="AK10">
            <v>7</v>
          </cell>
          <cell r="AM10">
            <v>108</v>
          </cell>
          <cell r="AN10">
            <v>75</v>
          </cell>
          <cell r="AQ10">
            <v>337</v>
          </cell>
          <cell r="AR10">
            <v>10</v>
          </cell>
        </row>
        <row r="11">
          <cell r="A11" t="str">
            <v>BB18_1</v>
          </cell>
          <cell r="G11">
            <v>403.2</v>
          </cell>
          <cell r="H11">
            <v>8.4000000000000005E-2</v>
          </cell>
          <cell r="M11">
            <v>1.0194000000000001</v>
          </cell>
          <cell r="N11">
            <v>1.0056</v>
          </cell>
          <cell r="O11">
            <v>0.97499999999999998</v>
          </cell>
          <cell r="S11">
            <v>0.36699999999999999</v>
          </cell>
          <cell r="T11">
            <v>1.018</v>
          </cell>
          <cell r="U11">
            <v>0.39</v>
          </cell>
          <cell r="V11">
            <v>0.38</v>
          </cell>
          <cell r="AD11">
            <v>321</v>
          </cell>
          <cell r="AE11">
            <v>23</v>
          </cell>
          <cell r="AG11">
            <v>228</v>
          </cell>
          <cell r="AH11">
            <v>8</v>
          </cell>
          <cell r="AJ11">
            <v>120</v>
          </cell>
          <cell r="AK11">
            <v>66</v>
          </cell>
          <cell r="AM11">
            <v>332</v>
          </cell>
          <cell r="AN11">
            <v>3</v>
          </cell>
          <cell r="AQ11">
            <v>65</v>
          </cell>
          <cell r="AR11">
            <v>40</v>
          </cell>
        </row>
        <row r="12">
          <cell r="A12" t="str">
            <v>BB18_2</v>
          </cell>
          <cell r="G12">
            <v>392.9</v>
          </cell>
          <cell r="H12">
            <v>7.9000000000000001E-2</v>
          </cell>
          <cell r="M12">
            <v>1.0164</v>
          </cell>
          <cell r="N12">
            <v>1.0105999999999999</v>
          </cell>
          <cell r="O12">
            <v>0.97299999999999998</v>
          </cell>
          <cell r="S12">
            <v>0.14299999999999999</v>
          </cell>
          <cell r="T12">
            <v>1.0329999999999999</v>
          </cell>
          <cell r="U12">
            <v>0.73799999999999999</v>
          </cell>
          <cell r="V12">
            <v>0.73299999999999998</v>
          </cell>
          <cell r="AD12">
            <v>12</v>
          </cell>
          <cell r="AE12">
            <v>5</v>
          </cell>
          <cell r="AG12">
            <v>279</v>
          </cell>
          <cell r="AH12">
            <v>24</v>
          </cell>
          <cell r="AJ12">
            <v>113</v>
          </cell>
          <cell r="AK12">
            <v>66</v>
          </cell>
          <cell r="AM12">
            <v>193</v>
          </cell>
          <cell r="AN12">
            <v>32</v>
          </cell>
          <cell r="AQ12">
            <v>66</v>
          </cell>
          <cell r="AR12">
            <v>43</v>
          </cell>
        </row>
        <row r="13">
          <cell r="A13" t="str">
            <v>BB18_3</v>
          </cell>
          <cell r="G13">
            <v>380.1</v>
          </cell>
          <cell r="H13">
            <v>6.0999999999999999E-2</v>
          </cell>
          <cell r="M13">
            <v>1.016</v>
          </cell>
          <cell r="N13">
            <v>1.0119</v>
          </cell>
          <cell r="O13">
            <v>0.97209999999999996</v>
          </cell>
          <cell r="S13">
            <v>9.8000000000000004E-2</v>
          </cell>
          <cell r="T13">
            <v>1.0369999999999999</v>
          </cell>
          <cell r="U13">
            <v>0.81699999999999995</v>
          </cell>
          <cell r="V13">
            <v>0.81299999999999994</v>
          </cell>
          <cell r="AD13">
            <v>170</v>
          </cell>
          <cell r="AE13">
            <v>21</v>
          </cell>
          <cell r="AG13">
            <v>265</v>
          </cell>
          <cell r="AH13">
            <v>13</v>
          </cell>
          <cell r="AJ13">
            <v>26</v>
          </cell>
          <cell r="AK13">
            <v>65</v>
          </cell>
          <cell r="AM13">
            <v>204</v>
          </cell>
          <cell r="AN13">
            <v>1</v>
          </cell>
          <cell r="AQ13">
            <v>113</v>
          </cell>
          <cell r="AR13">
            <v>45</v>
          </cell>
        </row>
        <row r="14">
          <cell r="A14" t="str">
            <v>BB19_2</v>
          </cell>
          <cell r="G14">
            <v>277.3</v>
          </cell>
          <cell r="H14">
            <v>3.5000000000000003E-2</v>
          </cell>
          <cell r="M14">
            <v>1.0458000000000001</v>
          </cell>
          <cell r="N14">
            <v>0.98880000000000001</v>
          </cell>
          <cell r="O14">
            <v>0.96540000000000004</v>
          </cell>
          <cell r="S14">
            <v>1.099</v>
          </cell>
          <cell r="T14">
            <v>0.96799999999999997</v>
          </cell>
          <cell r="U14">
            <v>-0.40200000000000002</v>
          </cell>
          <cell r="V14">
            <v>-0.41899999999999998</v>
          </cell>
          <cell r="AD14">
            <v>308</v>
          </cell>
          <cell r="AE14">
            <v>19</v>
          </cell>
          <cell r="AG14">
            <v>39</v>
          </cell>
          <cell r="AH14">
            <v>2</v>
          </cell>
          <cell r="AJ14">
            <v>134</v>
          </cell>
          <cell r="AK14">
            <v>71</v>
          </cell>
          <cell r="AM14">
            <v>311</v>
          </cell>
          <cell r="AN14">
            <v>29</v>
          </cell>
          <cell r="AQ14">
            <v>73</v>
          </cell>
          <cell r="AR14">
            <v>44</v>
          </cell>
        </row>
        <row r="15">
          <cell r="A15" t="str">
            <v>BB19_3</v>
          </cell>
          <cell r="G15">
            <v>246.7</v>
          </cell>
          <cell r="H15">
            <v>0.16800000000000001</v>
          </cell>
          <cell r="M15">
            <v>1.0465</v>
          </cell>
          <cell r="N15">
            <v>0.98680000000000001</v>
          </cell>
          <cell r="O15">
            <v>0.9667</v>
          </cell>
          <cell r="S15">
            <v>1.194</v>
          </cell>
          <cell r="T15">
            <v>0.96299999999999997</v>
          </cell>
          <cell r="U15">
            <v>-0.48</v>
          </cell>
          <cell r="V15">
            <v>-0.495</v>
          </cell>
          <cell r="AD15">
            <v>308</v>
          </cell>
          <cell r="AE15">
            <v>19</v>
          </cell>
          <cell r="AG15">
            <v>217</v>
          </cell>
          <cell r="AH15">
            <v>1</v>
          </cell>
          <cell r="AJ15">
            <v>124</v>
          </cell>
          <cell r="AK15">
            <v>70</v>
          </cell>
          <cell r="AM15">
            <v>309</v>
          </cell>
          <cell r="AN15">
            <v>29</v>
          </cell>
          <cell r="AQ15">
            <v>75</v>
          </cell>
          <cell r="AR15">
            <v>47</v>
          </cell>
        </row>
        <row r="16">
          <cell r="A16" t="str">
            <v>BB19_4</v>
          </cell>
          <cell r="G16">
            <v>231.5</v>
          </cell>
          <cell r="H16">
            <v>0.18</v>
          </cell>
          <cell r="M16">
            <v>1.0451999999999999</v>
          </cell>
          <cell r="N16">
            <v>0.98560000000000003</v>
          </cell>
          <cell r="O16">
            <v>0.96919999999999995</v>
          </cell>
          <cell r="S16">
            <v>1.292</v>
          </cell>
          <cell r="T16">
            <v>0.95899999999999996</v>
          </cell>
          <cell r="U16">
            <v>-0.55700000000000005</v>
          </cell>
          <cell r="V16">
            <v>-0.56999999999999995</v>
          </cell>
          <cell r="AD16">
            <v>309</v>
          </cell>
          <cell r="AE16">
            <v>23</v>
          </cell>
          <cell r="AG16">
            <v>219</v>
          </cell>
          <cell r="AH16">
            <v>2</v>
          </cell>
          <cell r="AJ16">
            <v>125</v>
          </cell>
          <cell r="AK16">
            <v>67</v>
          </cell>
          <cell r="AM16">
            <v>308</v>
          </cell>
          <cell r="AN16">
            <v>25</v>
          </cell>
          <cell r="AQ16">
            <v>70</v>
          </cell>
          <cell r="AR16">
            <v>49</v>
          </cell>
        </row>
        <row r="17">
          <cell r="A17" t="str">
            <v>BB20_2</v>
          </cell>
          <cell r="G17">
            <v>346.2</v>
          </cell>
          <cell r="H17">
            <v>4.3999999999999997E-2</v>
          </cell>
          <cell r="M17">
            <v>1.0448</v>
          </cell>
          <cell r="N17">
            <v>1.0023</v>
          </cell>
          <cell r="O17">
            <v>0.95289999999999997</v>
          </cell>
          <cell r="S17">
            <v>0.60199999999999998</v>
          </cell>
          <cell r="T17">
            <v>1.0089999999999999</v>
          </cell>
          <cell r="U17">
            <v>9.7000000000000003E-2</v>
          </cell>
          <cell r="V17">
            <v>7.3999999999999996E-2</v>
          </cell>
          <cell r="AD17">
            <v>227</v>
          </cell>
          <cell r="AE17">
            <v>19</v>
          </cell>
          <cell r="AG17">
            <v>114</v>
          </cell>
          <cell r="AH17">
            <v>48</v>
          </cell>
          <cell r="AJ17">
            <v>332</v>
          </cell>
          <cell r="AK17">
            <v>35</v>
          </cell>
          <cell r="AM17">
            <v>243</v>
          </cell>
          <cell r="AN17">
            <v>36</v>
          </cell>
          <cell r="AQ17">
            <v>4</v>
          </cell>
          <cell r="AR17">
            <v>36</v>
          </cell>
        </row>
        <row r="18">
          <cell r="A18" t="str">
            <v>BB20_3</v>
          </cell>
          <cell r="G18">
            <v>351.2</v>
          </cell>
          <cell r="H18">
            <v>2.4E-2</v>
          </cell>
          <cell r="M18">
            <v>1.0430999999999999</v>
          </cell>
          <cell r="N18">
            <v>1.0044999999999999</v>
          </cell>
          <cell r="O18">
            <v>0.95240000000000002</v>
          </cell>
          <cell r="S18">
            <v>0.54100000000000004</v>
          </cell>
          <cell r="T18">
            <v>1.016</v>
          </cell>
          <cell r="U18">
            <v>0.17</v>
          </cell>
          <cell r="V18">
            <v>0.14799999999999999</v>
          </cell>
          <cell r="AD18">
            <v>224</v>
          </cell>
          <cell r="AE18">
            <v>19</v>
          </cell>
          <cell r="AG18">
            <v>117</v>
          </cell>
          <cell r="AH18">
            <v>40</v>
          </cell>
          <cell r="AJ18">
            <v>334</v>
          </cell>
          <cell r="AK18">
            <v>44</v>
          </cell>
          <cell r="AM18">
            <v>240</v>
          </cell>
          <cell r="AN18">
            <v>35</v>
          </cell>
          <cell r="AQ18">
            <v>11</v>
          </cell>
          <cell r="AR18">
            <v>43</v>
          </cell>
        </row>
        <row r="19">
          <cell r="A19" t="str">
            <v>BB20_4</v>
          </cell>
          <cell r="G19">
            <v>349.9</v>
          </cell>
          <cell r="H19">
            <v>6.5000000000000002E-2</v>
          </cell>
          <cell r="M19">
            <v>1.0439000000000001</v>
          </cell>
          <cell r="N19">
            <v>1.0025999999999999</v>
          </cell>
          <cell r="O19">
            <v>0.95350000000000001</v>
          </cell>
          <cell r="S19">
            <v>0.59299999999999997</v>
          </cell>
          <cell r="T19">
            <v>1.01</v>
          </cell>
          <cell r="U19">
            <v>0.108</v>
          </cell>
          <cell r="V19">
            <v>8.5999999999999993E-2</v>
          </cell>
          <cell r="AD19">
            <v>226</v>
          </cell>
          <cell r="AE19">
            <v>20</v>
          </cell>
          <cell r="AG19">
            <v>116</v>
          </cell>
          <cell r="AH19">
            <v>43</v>
          </cell>
          <cell r="AJ19">
            <v>335</v>
          </cell>
          <cell r="AK19">
            <v>40</v>
          </cell>
          <cell r="AM19">
            <v>242</v>
          </cell>
          <cell r="AN19">
            <v>37</v>
          </cell>
          <cell r="AQ19">
            <v>9</v>
          </cell>
          <cell r="AR19">
            <v>39</v>
          </cell>
        </row>
        <row r="20">
          <cell r="A20" t="str">
            <v>BB30_3</v>
          </cell>
          <cell r="G20">
            <v>213.6</v>
          </cell>
          <cell r="H20">
            <v>0.14699999999999999</v>
          </cell>
          <cell r="M20">
            <v>1.0249999999999999</v>
          </cell>
          <cell r="N20">
            <v>1.0056</v>
          </cell>
          <cell r="O20">
            <v>0.96940000000000004</v>
          </cell>
          <cell r="S20">
            <v>0.42399999999999999</v>
          </cell>
          <cell r="T20">
            <v>1.018</v>
          </cell>
          <cell r="U20">
            <v>0.314</v>
          </cell>
          <cell r="V20">
            <v>0.30099999999999999</v>
          </cell>
          <cell r="AD20">
            <v>27</v>
          </cell>
          <cell r="AE20">
            <v>52</v>
          </cell>
          <cell r="AG20">
            <v>294</v>
          </cell>
          <cell r="AH20">
            <v>2</v>
          </cell>
          <cell r="AJ20">
            <v>202</v>
          </cell>
          <cell r="AK20">
            <v>38</v>
          </cell>
          <cell r="AM20">
            <v>48</v>
          </cell>
          <cell r="AN20">
            <v>80</v>
          </cell>
          <cell r="AQ20">
            <v>274</v>
          </cell>
          <cell r="AR20">
            <v>7</v>
          </cell>
        </row>
        <row r="21">
          <cell r="A21" t="str">
            <v>BB30_4</v>
          </cell>
          <cell r="G21">
            <v>218.8</v>
          </cell>
          <cell r="H21">
            <v>0.17399999999999999</v>
          </cell>
          <cell r="M21">
            <v>1.0249999999999999</v>
          </cell>
          <cell r="N21">
            <v>1.0058</v>
          </cell>
          <cell r="O21">
            <v>0.96919999999999995</v>
          </cell>
          <cell r="S21">
            <v>0.41499999999999998</v>
          </cell>
          <cell r="T21">
            <v>1.018</v>
          </cell>
          <cell r="U21">
            <v>0.32500000000000001</v>
          </cell>
          <cell r="V21">
            <v>0.313</v>
          </cell>
          <cell r="AD21">
            <v>22</v>
          </cell>
          <cell r="AE21">
            <v>50</v>
          </cell>
          <cell r="AG21">
            <v>113</v>
          </cell>
          <cell r="AH21">
            <v>0</v>
          </cell>
          <cell r="AJ21">
            <v>203</v>
          </cell>
          <cell r="AK21">
            <v>40</v>
          </cell>
          <cell r="AM21">
            <v>54</v>
          </cell>
          <cell r="AN21">
            <v>84</v>
          </cell>
          <cell r="AQ21">
            <v>275</v>
          </cell>
          <cell r="AR21">
            <v>5</v>
          </cell>
        </row>
        <row r="22">
          <cell r="A22" t="str">
            <v>BB31_3</v>
          </cell>
          <cell r="G22">
            <v>250.3</v>
          </cell>
          <cell r="H22">
            <v>0.16200000000000001</v>
          </cell>
          <cell r="M22">
            <v>1.0301</v>
          </cell>
          <cell r="N22">
            <v>1.0052000000000001</v>
          </cell>
          <cell r="O22">
            <v>0.96460000000000001</v>
          </cell>
          <cell r="S22">
            <v>0.46899999999999997</v>
          </cell>
          <cell r="T22">
            <v>1.0169999999999999</v>
          </cell>
          <cell r="U22">
            <v>0.255</v>
          </cell>
          <cell r="V22">
            <v>0.24</v>
          </cell>
          <cell r="AD22">
            <v>63</v>
          </cell>
          <cell r="AE22">
            <v>3</v>
          </cell>
          <cell r="AG22">
            <v>332</v>
          </cell>
          <cell r="AH22">
            <v>7</v>
          </cell>
          <cell r="AJ22">
            <v>178</v>
          </cell>
          <cell r="AK22">
            <v>83</v>
          </cell>
          <cell r="AM22">
            <v>327</v>
          </cell>
          <cell r="AN22">
            <v>47</v>
          </cell>
          <cell r="AQ22">
            <v>94</v>
          </cell>
          <cell r="AR22">
            <v>29</v>
          </cell>
        </row>
        <row r="23">
          <cell r="A23" t="str">
            <v>BB31_4</v>
          </cell>
          <cell r="G23">
            <v>244.4</v>
          </cell>
          <cell r="H23">
            <v>0.16500000000000001</v>
          </cell>
          <cell r="M23">
            <v>1.0268999999999999</v>
          </cell>
          <cell r="N23">
            <v>1.0045999999999999</v>
          </cell>
          <cell r="O23">
            <v>0.96850000000000003</v>
          </cell>
          <cell r="S23">
            <v>0.47</v>
          </cell>
          <cell r="T23">
            <v>1.0149999999999999</v>
          </cell>
          <cell r="U23">
            <v>0.253</v>
          </cell>
          <cell r="V23">
            <v>0.23899999999999999</v>
          </cell>
          <cell r="AD23">
            <v>66</v>
          </cell>
          <cell r="AE23">
            <v>1</v>
          </cell>
          <cell r="AG23">
            <v>336</v>
          </cell>
          <cell r="AH23">
            <v>6</v>
          </cell>
          <cell r="AJ23">
            <v>164</v>
          </cell>
          <cell r="AK23">
            <v>84</v>
          </cell>
          <cell r="AM23">
            <v>334</v>
          </cell>
          <cell r="AN23">
            <v>45</v>
          </cell>
          <cell r="AQ23">
            <v>94</v>
          </cell>
          <cell r="AR23">
            <v>27</v>
          </cell>
        </row>
        <row r="24">
          <cell r="A24" t="str">
            <v>BB32_3</v>
          </cell>
          <cell r="G24">
            <v>290.89999999999998</v>
          </cell>
          <cell r="H24">
            <v>7.4999999999999997E-2</v>
          </cell>
          <cell r="M24">
            <v>1.0273000000000001</v>
          </cell>
          <cell r="N24">
            <v>1.0075000000000001</v>
          </cell>
          <cell r="O24">
            <v>0.96519999999999995</v>
          </cell>
          <cell r="S24">
            <v>0.378</v>
          </cell>
          <cell r="T24">
            <v>1.024</v>
          </cell>
          <cell r="U24">
            <v>0.378</v>
          </cell>
          <cell r="V24">
            <v>0.36499999999999999</v>
          </cell>
          <cell r="AD24">
            <v>213</v>
          </cell>
          <cell r="AE24">
            <v>9</v>
          </cell>
          <cell r="AG24">
            <v>123</v>
          </cell>
          <cell r="AH24">
            <v>1</v>
          </cell>
          <cell r="AJ24">
            <v>27</v>
          </cell>
          <cell r="AK24">
            <v>81</v>
          </cell>
          <cell r="AM24">
            <v>335</v>
          </cell>
          <cell r="AN24">
            <v>75</v>
          </cell>
          <cell r="AQ24">
            <v>91</v>
          </cell>
          <cell r="AR24">
            <v>7</v>
          </cell>
        </row>
        <row r="25">
          <cell r="A25" t="str">
            <v>BB32_4</v>
          </cell>
          <cell r="G25">
            <v>291.7</v>
          </cell>
          <cell r="H25">
            <v>6.2E-2</v>
          </cell>
          <cell r="M25">
            <v>1.0268999999999999</v>
          </cell>
          <cell r="N25">
            <v>1.0082</v>
          </cell>
          <cell r="O25">
            <v>0.96489999999999998</v>
          </cell>
          <cell r="S25">
            <v>0.35699999999999998</v>
          </cell>
          <cell r="T25">
            <v>1.026</v>
          </cell>
          <cell r="U25">
            <v>0.40699999999999997</v>
          </cell>
          <cell r="V25">
            <v>0.39400000000000002</v>
          </cell>
          <cell r="AD25">
            <v>214</v>
          </cell>
          <cell r="AE25">
            <v>8</v>
          </cell>
          <cell r="AG25">
            <v>124</v>
          </cell>
          <cell r="AH25">
            <v>1</v>
          </cell>
          <cell r="AJ25">
            <v>30</v>
          </cell>
          <cell r="AK25">
            <v>82</v>
          </cell>
          <cell r="AM25">
            <v>333</v>
          </cell>
          <cell r="AN25">
            <v>74</v>
          </cell>
          <cell r="AQ25">
            <v>92</v>
          </cell>
          <cell r="AR25">
            <v>8</v>
          </cell>
        </row>
        <row r="26">
          <cell r="A26" t="str">
            <v>BB34_3</v>
          </cell>
          <cell r="G26">
            <v>237</v>
          </cell>
          <cell r="H26">
            <v>0.13900000000000001</v>
          </cell>
          <cell r="M26">
            <v>1.0306999999999999</v>
          </cell>
          <cell r="N26">
            <v>1.0097</v>
          </cell>
          <cell r="O26">
            <v>0.95960000000000001</v>
          </cell>
          <cell r="S26">
            <v>0.34699999999999998</v>
          </cell>
          <cell r="T26">
            <v>1.0309999999999999</v>
          </cell>
          <cell r="U26">
            <v>0.42299999999999999</v>
          </cell>
          <cell r="V26">
            <v>0.40799999999999997</v>
          </cell>
          <cell r="AD26">
            <v>39</v>
          </cell>
          <cell r="AE26">
            <v>35</v>
          </cell>
          <cell r="AG26">
            <v>296</v>
          </cell>
          <cell r="AH26">
            <v>18</v>
          </cell>
          <cell r="AJ26">
            <v>184</v>
          </cell>
          <cell r="AK26">
            <v>50</v>
          </cell>
          <cell r="AM26">
            <v>23</v>
          </cell>
          <cell r="AN26">
            <v>64</v>
          </cell>
          <cell r="AQ26">
            <v>267</v>
          </cell>
          <cell r="AR26">
            <v>12</v>
          </cell>
        </row>
        <row r="27">
          <cell r="A27" t="str">
            <v>BB35_3</v>
          </cell>
          <cell r="G27">
            <v>263.7</v>
          </cell>
          <cell r="H27">
            <v>6.7000000000000004E-2</v>
          </cell>
          <cell r="M27">
            <v>1.0248999999999999</v>
          </cell>
          <cell r="N27">
            <v>1.0115000000000001</v>
          </cell>
          <cell r="O27">
            <v>0.96360000000000001</v>
          </cell>
          <cell r="S27">
            <v>0.245</v>
          </cell>
          <cell r="T27">
            <v>1.036</v>
          </cell>
          <cell r="U27">
            <v>0.57399999999999995</v>
          </cell>
          <cell r="V27">
            <v>0.56299999999999994</v>
          </cell>
          <cell r="AD27">
            <v>199</v>
          </cell>
          <cell r="AE27">
            <v>4</v>
          </cell>
          <cell r="AG27">
            <v>290</v>
          </cell>
          <cell r="AH27">
            <v>20</v>
          </cell>
          <cell r="AJ27">
            <v>99</v>
          </cell>
          <cell r="AK27">
            <v>70</v>
          </cell>
          <cell r="AM27">
            <v>177</v>
          </cell>
          <cell r="AN27">
            <v>9</v>
          </cell>
          <cell r="AQ27">
            <v>269</v>
          </cell>
          <cell r="AR27">
            <v>12</v>
          </cell>
        </row>
        <row r="28">
          <cell r="A28" t="str">
            <v>BB35_4</v>
          </cell>
          <cell r="G28">
            <v>264.2</v>
          </cell>
          <cell r="H28">
            <v>0.14199999999999999</v>
          </cell>
          <cell r="M28">
            <v>1.0227999999999999</v>
          </cell>
          <cell r="N28">
            <v>1.0105999999999999</v>
          </cell>
          <cell r="O28">
            <v>0.96660000000000001</v>
          </cell>
          <cell r="S28">
            <v>0.24299999999999999</v>
          </cell>
          <cell r="T28">
            <v>1.0329999999999999</v>
          </cell>
          <cell r="U28">
            <v>0.57699999999999996</v>
          </cell>
          <cell r="V28">
            <v>0.56699999999999995</v>
          </cell>
          <cell r="AE28">
            <v>5</v>
          </cell>
          <cell r="AG28">
            <v>209</v>
          </cell>
          <cell r="AH28">
            <v>16</v>
          </cell>
          <cell r="AM28">
            <v>176</v>
          </cell>
          <cell r="AN28">
            <v>8</v>
          </cell>
          <cell r="AQ28">
            <v>267</v>
          </cell>
          <cell r="AR28">
            <v>9</v>
          </cell>
        </row>
        <row r="29">
          <cell r="A29" t="str">
            <v>BB36_3</v>
          </cell>
          <cell r="G29">
            <v>155.5</v>
          </cell>
          <cell r="H29">
            <v>0.221</v>
          </cell>
          <cell r="M29">
            <v>1.0274000000000001</v>
          </cell>
          <cell r="N29">
            <v>1.0052000000000001</v>
          </cell>
          <cell r="O29">
            <v>0.96740000000000004</v>
          </cell>
          <cell r="S29">
            <v>0.45600000000000002</v>
          </cell>
          <cell r="T29">
            <v>1.016</v>
          </cell>
          <cell r="U29">
            <v>0.27200000000000002</v>
          </cell>
          <cell r="V29">
            <v>0.25800000000000001</v>
          </cell>
          <cell r="AD29">
            <v>24</v>
          </cell>
          <cell r="AE29">
            <v>31</v>
          </cell>
          <cell r="AG29">
            <v>281</v>
          </cell>
          <cell r="AH29">
            <v>20</v>
          </cell>
          <cell r="AJ29">
            <v>164</v>
          </cell>
          <cell r="AK29">
            <v>52</v>
          </cell>
          <cell r="AM29">
            <v>14</v>
          </cell>
          <cell r="AN29">
            <v>63</v>
          </cell>
          <cell r="AQ29">
            <v>265</v>
          </cell>
          <cell r="AR29">
            <v>10</v>
          </cell>
        </row>
        <row r="30">
          <cell r="A30" t="str">
            <v>BB37_3</v>
          </cell>
          <cell r="G30">
            <v>250.8</v>
          </cell>
          <cell r="H30">
            <v>0.12</v>
          </cell>
          <cell r="M30">
            <v>1.0219</v>
          </cell>
          <cell r="N30">
            <v>1.0045999999999999</v>
          </cell>
          <cell r="O30">
            <v>0.97350000000000003</v>
          </cell>
          <cell r="S30">
            <v>0.436</v>
          </cell>
          <cell r="T30">
            <v>1.014</v>
          </cell>
          <cell r="U30">
            <v>0.29599999999999999</v>
          </cell>
          <cell r="V30">
            <v>0.28499999999999998</v>
          </cell>
          <cell r="AD30">
            <v>242</v>
          </cell>
          <cell r="AE30">
            <v>84</v>
          </cell>
          <cell r="AG30">
            <v>357</v>
          </cell>
          <cell r="AH30">
            <v>3</v>
          </cell>
          <cell r="AJ30">
            <v>88</v>
          </cell>
          <cell r="AK30">
            <v>6</v>
          </cell>
          <cell r="AM30">
            <v>76</v>
          </cell>
          <cell r="AN30">
            <v>64</v>
          </cell>
          <cell r="AQ30">
            <v>186</v>
          </cell>
          <cell r="AR30">
            <v>9</v>
          </cell>
        </row>
        <row r="31">
          <cell r="A31" t="str">
            <v>BB37_4</v>
          </cell>
          <cell r="G31">
            <v>258.60000000000002</v>
          </cell>
          <cell r="H31">
            <v>8.1000000000000003E-2</v>
          </cell>
          <cell r="M31">
            <v>1.0182</v>
          </cell>
          <cell r="N31">
            <v>1.0043</v>
          </cell>
          <cell r="O31">
            <v>0.97750000000000004</v>
          </cell>
          <cell r="S31">
            <v>0.41099999999999998</v>
          </cell>
          <cell r="T31">
            <v>1.0129999999999999</v>
          </cell>
          <cell r="U31">
            <v>0.32700000000000001</v>
          </cell>
          <cell r="V31">
            <v>0.318</v>
          </cell>
          <cell r="AD31">
            <v>238</v>
          </cell>
          <cell r="AE31">
            <v>85</v>
          </cell>
          <cell r="AG31">
            <v>356</v>
          </cell>
          <cell r="AH31">
            <v>2</v>
          </cell>
          <cell r="AJ31">
            <v>86</v>
          </cell>
          <cell r="AK31">
            <v>4</v>
          </cell>
          <cell r="AM31">
            <v>79</v>
          </cell>
          <cell r="AN31">
            <v>64</v>
          </cell>
          <cell r="AQ31">
            <v>185</v>
          </cell>
          <cell r="AR31">
            <v>7</v>
          </cell>
        </row>
        <row r="32">
          <cell r="A32" t="str">
            <v>BB37_5</v>
          </cell>
          <cell r="G32">
            <v>253.9</v>
          </cell>
          <cell r="H32">
            <v>9.4E-2</v>
          </cell>
          <cell r="M32">
            <v>1.0244</v>
          </cell>
          <cell r="N32">
            <v>1.0064</v>
          </cell>
          <cell r="O32">
            <v>0.96919999999999995</v>
          </cell>
          <cell r="S32">
            <v>0.39100000000000001</v>
          </cell>
          <cell r="T32">
            <v>1.02</v>
          </cell>
          <cell r="U32">
            <v>0.35799999999999998</v>
          </cell>
          <cell r="V32">
            <v>0.34599999999999997</v>
          </cell>
          <cell r="AD32">
            <v>269</v>
          </cell>
          <cell r="AE32">
            <v>82</v>
          </cell>
          <cell r="AG32">
            <v>2</v>
          </cell>
          <cell r="AH32">
            <v>0</v>
          </cell>
          <cell r="AJ32">
            <v>92</v>
          </cell>
          <cell r="AK32">
            <v>8</v>
          </cell>
          <cell r="AM32">
            <v>74</v>
          </cell>
          <cell r="AN32">
            <v>61</v>
          </cell>
          <cell r="AQ32">
            <v>188</v>
          </cell>
          <cell r="AR32">
            <v>13</v>
          </cell>
        </row>
        <row r="33">
          <cell r="A33" t="str">
            <v>BB38_2</v>
          </cell>
          <cell r="G33">
            <v>338</v>
          </cell>
          <cell r="H33">
            <v>0.106</v>
          </cell>
          <cell r="M33">
            <v>1.0199</v>
          </cell>
          <cell r="N33">
            <v>1.0065</v>
          </cell>
          <cell r="O33">
            <v>0.97370000000000001</v>
          </cell>
          <cell r="S33">
            <v>0.33900000000000002</v>
          </cell>
          <cell r="T33">
            <v>1.02</v>
          </cell>
          <cell r="U33">
            <v>0.43</v>
          </cell>
          <cell r="V33">
            <v>0.42</v>
          </cell>
          <cell r="AD33">
            <v>91</v>
          </cell>
          <cell r="AE33">
            <v>9</v>
          </cell>
          <cell r="AG33">
            <v>331</v>
          </cell>
          <cell r="AH33">
            <v>72</v>
          </cell>
          <cell r="AJ33">
            <v>184</v>
          </cell>
          <cell r="AK33">
            <v>15</v>
          </cell>
          <cell r="AM33">
            <v>264</v>
          </cell>
          <cell r="AN33">
            <v>32</v>
          </cell>
          <cell r="AQ33">
            <v>168</v>
          </cell>
          <cell r="AR33">
            <v>10</v>
          </cell>
        </row>
        <row r="34">
          <cell r="A34" t="str">
            <v>BB38_3</v>
          </cell>
          <cell r="G34">
            <v>353.1</v>
          </cell>
          <cell r="H34">
            <v>0.1</v>
          </cell>
          <cell r="M34">
            <v>1.0203</v>
          </cell>
          <cell r="N34">
            <v>1.0046999999999999</v>
          </cell>
          <cell r="O34">
            <v>0.97499999999999998</v>
          </cell>
          <cell r="S34">
            <v>0.41599999999999998</v>
          </cell>
          <cell r="T34">
            <v>1.0149999999999999</v>
          </cell>
          <cell r="U34">
            <v>0.32200000000000001</v>
          </cell>
          <cell r="V34">
            <v>0.312</v>
          </cell>
          <cell r="AD34">
            <v>93</v>
          </cell>
          <cell r="AE34">
            <v>7</v>
          </cell>
          <cell r="AG34">
            <v>336</v>
          </cell>
          <cell r="AH34">
            <v>74</v>
          </cell>
          <cell r="AJ34">
            <v>185</v>
          </cell>
          <cell r="AK34">
            <v>14</v>
          </cell>
          <cell r="AM34">
            <v>266</v>
          </cell>
          <cell r="AN34">
            <v>35</v>
          </cell>
          <cell r="AQ34">
            <v>169</v>
          </cell>
          <cell r="AR34">
            <v>9</v>
          </cell>
        </row>
        <row r="35">
          <cell r="A35" t="str">
            <v>BB38_4</v>
          </cell>
          <cell r="G35">
            <v>361.9</v>
          </cell>
          <cell r="H35">
            <v>8.5999999999999993E-2</v>
          </cell>
          <cell r="M35">
            <v>1.0224</v>
          </cell>
          <cell r="N35">
            <v>1.0053000000000001</v>
          </cell>
          <cell r="O35">
            <v>0.97219999999999995</v>
          </cell>
          <cell r="S35">
            <v>0.41</v>
          </cell>
          <cell r="T35">
            <v>1.0169999999999999</v>
          </cell>
          <cell r="U35">
            <v>0.33100000000000002</v>
          </cell>
          <cell r="V35">
            <v>0.31900000000000001</v>
          </cell>
          <cell r="AD35">
            <v>93</v>
          </cell>
          <cell r="AE35">
            <v>5</v>
          </cell>
          <cell r="AG35">
            <v>332</v>
          </cell>
          <cell r="AH35">
            <v>80</v>
          </cell>
          <cell r="AJ35">
            <v>184</v>
          </cell>
          <cell r="AK35">
            <v>9</v>
          </cell>
          <cell r="AM35">
            <v>266</v>
          </cell>
          <cell r="AN35">
            <v>37</v>
          </cell>
          <cell r="AQ35">
            <v>173</v>
          </cell>
          <cell r="AR35">
            <v>5</v>
          </cell>
        </row>
        <row r="36">
          <cell r="A36" t="str">
            <v>BB42_3</v>
          </cell>
          <cell r="G36">
            <v>287.39999999999998</v>
          </cell>
          <cell r="H36">
            <v>0.10100000000000001</v>
          </cell>
          <cell r="M36">
            <v>1.0236000000000001</v>
          </cell>
          <cell r="N36">
            <v>0.99629999999999996</v>
          </cell>
          <cell r="O36">
            <v>0.98</v>
          </cell>
          <cell r="S36">
            <v>0.91100000000000003</v>
          </cell>
          <cell r="T36">
            <v>0.99</v>
          </cell>
          <cell r="U36">
            <v>-0.24099999999999999</v>
          </cell>
          <cell r="V36">
            <v>-0.252</v>
          </cell>
          <cell r="AD36">
            <v>193</v>
          </cell>
          <cell r="AE36">
            <v>3</v>
          </cell>
          <cell r="AG36">
            <v>283</v>
          </cell>
          <cell r="AH36">
            <v>12</v>
          </cell>
          <cell r="AJ36">
            <v>91</v>
          </cell>
          <cell r="AK36">
            <v>77</v>
          </cell>
          <cell r="AM36">
            <v>348</v>
          </cell>
          <cell r="AN36">
            <v>87</v>
          </cell>
          <cell r="AQ36">
            <v>257</v>
          </cell>
          <cell r="AR36">
            <v>0</v>
          </cell>
        </row>
        <row r="37">
          <cell r="A37" t="str">
            <v>BB42_4</v>
          </cell>
          <cell r="G37">
            <v>264.89999999999998</v>
          </cell>
          <cell r="H37">
            <v>8.5999999999999993E-2</v>
          </cell>
          <cell r="M37">
            <v>1.0216000000000001</v>
          </cell>
          <cell r="N37">
            <v>0.99639999999999995</v>
          </cell>
          <cell r="O37">
            <v>0.98199999999999998</v>
          </cell>
          <cell r="S37">
            <v>0.93300000000000005</v>
          </cell>
          <cell r="T37">
            <v>0.99</v>
          </cell>
          <cell r="U37">
            <v>-0.26300000000000001</v>
          </cell>
          <cell r="V37">
            <v>-0.27200000000000002</v>
          </cell>
          <cell r="AD37">
            <v>198</v>
          </cell>
          <cell r="AE37">
            <v>2</v>
          </cell>
          <cell r="AG37">
            <v>289</v>
          </cell>
          <cell r="AH37">
            <v>14</v>
          </cell>
          <cell r="AJ37">
            <v>100</v>
          </cell>
          <cell r="AK37">
            <v>76</v>
          </cell>
          <cell r="AM37">
            <v>360</v>
          </cell>
          <cell r="AN37">
            <v>81</v>
          </cell>
          <cell r="AQ37">
            <v>256</v>
          </cell>
          <cell r="AR37">
            <v>2</v>
          </cell>
        </row>
        <row r="38">
          <cell r="A38" t="str">
            <v>BB43_3</v>
          </cell>
          <cell r="G38">
            <v>252.1</v>
          </cell>
          <cell r="H38">
            <v>8.8999999999999996E-2</v>
          </cell>
          <cell r="M38">
            <v>1.0207999999999999</v>
          </cell>
          <cell r="N38">
            <v>0.99960000000000004</v>
          </cell>
          <cell r="O38">
            <v>0.97960000000000003</v>
          </cell>
          <cell r="S38">
            <v>0.69299999999999995</v>
          </cell>
          <cell r="T38">
            <v>0.999</v>
          </cell>
          <cell r="U38">
            <v>-1.9E-2</v>
          </cell>
          <cell r="V38">
            <v>-2.9000000000000001E-2</v>
          </cell>
          <cell r="AD38">
            <v>21</v>
          </cell>
          <cell r="AE38">
            <v>48</v>
          </cell>
          <cell r="AG38">
            <v>283</v>
          </cell>
          <cell r="AH38">
            <v>7</v>
          </cell>
          <cell r="AJ38">
            <v>187</v>
          </cell>
          <cell r="AK38">
            <v>41</v>
          </cell>
          <cell r="AM38">
            <v>16</v>
          </cell>
          <cell r="AN38">
            <v>86</v>
          </cell>
          <cell r="AQ38">
            <v>263</v>
          </cell>
          <cell r="AR38">
            <v>1</v>
          </cell>
        </row>
        <row r="39">
          <cell r="A39" t="str">
            <v>BB43_4</v>
          </cell>
          <cell r="G39">
            <v>270.89999999999998</v>
          </cell>
          <cell r="H39">
            <v>0.114</v>
          </cell>
          <cell r="M39">
            <v>1.0210999999999999</v>
          </cell>
          <cell r="N39">
            <v>0.99939999999999996</v>
          </cell>
          <cell r="O39">
            <v>0.97950000000000004</v>
          </cell>
          <cell r="S39">
            <v>0.70799999999999996</v>
          </cell>
          <cell r="T39">
            <v>0.999</v>
          </cell>
          <cell r="U39">
            <v>-3.5999999999999997E-2</v>
          </cell>
          <cell r="V39">
            <v>-4.5999999999999999E-2</v>
          </cell>
          <cell r="AD39">
            <v>17</v>
          </cell>
          <cell r="AE39">
            <v>48</v>
          </cell>
          <cell r="AG39">
            <v>282</v>
          </cell>
          <cell r="AH39">
            <v>5</v>
          </cell>
          <cell r="AJ39">
            <v>188</v>
          </cell>
          <cell r="AK39">
            <v>41</v>
          </cell>
          <cell r="AM39">
            <v>47</v>
          </cell>
          <cell r="AN39">
            <v>88</v>
          </cell>
          <cell r="AQ39">
            <v>264</v>
          </cell>
          <cell r="AR39">
            <v>1</v>
          </cell>
        </row>
        <row r="40">
          <cell r="A40" t="str">
            <v>BB44_2</v>
          </cell>
          <cell r="G40">
            <v>306.3</v>
          </cell>
          <cell r="H40">
            <v>6.9000000000000006E-2</v>
          </cell>
          <cell r="M40">
            <v>1.0181</v>
          </cell>
          <cell r="N40">
            <v>1.0018</v>
          </cell>
          <cell r="O40">
            <v>0.98009999999999997</v>
          </cell>
          <cell r="S40">
            <v>0.54500000000000004</v>
          </cell>
          <cell r="T40">
            <v>1.006</v>
          </cell>
          <cell r="U40">
            <v>0.152</v>
          </cell>
          <cell r="V40">
            <v>0.14299999999999999</v>
          </cell>
          <cell r="AD40">
            <v>310</v>
          </cell>
          <cell r="AE40">
            <v>18</v>
          </cell>
          <cell r="AG40">
            <v>46</v>
          </cell>
          <cell r="AH40">
            <v>18</v>
          </cell>
          <cell r="AJ40">
            <v>178</v>
          </cell>
          <cell r="AK40">
            <v>64</v>
          </cell>
          <cell r="AM40">
            <v>307</v>
          </cell>
          <cell r="AN40">
            <v>14</v>
          </cell>
          <cell r="AQ40">
            <v>52</v>
          </cell>
          <cell r="AR40">
            <v>45</v>
          </cell>
        </row>
        <row r="41">
          <cell r="A41" t="str">
            <v>BB44_3</v>
          </cell>
          <cell r="G41">
            <v>301.2</v>
          </cell>
          <cell r="H41">
            <v>4.5999999999999999E-2</v>
          </cell>
          <cell r="M41">
            <v>1.016</v>
          </cell>
          <cell r="N41">
            <v>1.0032000000000001</v>
          </cell>
          <cell r="O41">
            <v>0.98080000000000001</v>
          </cell>
          <cell r="S41">
            <v>0.44700000000000001</v>
          </cell>
          <cell r="T41">
            <v>1.01</v>
          </cell>
          <cell r="U41">
            <v>0.27800000000000002</v>
          </cell>
          <cell r="V41">
            <v>0.27</v>
          </cell>
          <cell r="AD41">
            <v>315</v>
          </cell>
          <cell r="AE41">
            <v>24</v>
          </cell>
          <cell r="AG41">
            <v>55</v>
          </cell>
          <cell r="AH41">
            <v>20</v>
          </cell>
          <cell r="AJ41">
            <v>180</v>
          </cell>
          <cell r="AK41">
            <v>58</v>
          </cell>
          <cell r="AM41">
            <v>309</v>
          </cell>
          <cell r="AN41">
            <v>6</v>
          </cell>
          <cell r="AQ41">
            <v>45</v>
          </cell>
          <cell r="AR41">
            <v>41</v>
          </cell>
        </row>
        <row r="42">
          <cell r="A42" t="str">
            <v>BB44_4</v>
          </cell>
          <cell r="G42">
            <v>290.8</v>
          </cell>
          <cell r="H42">
            <v>0.13200000000000001</v>
          </cell>
          <cell r="M42">
            <v>1.0177</v>
          </cell>
          <cell r="N42">
            <v>1.0022</v>
          </cell>
          <cell r="O42">
            <v>0.98009999999999997</v>
          </cell>
          <cell r="S42">
            <v>0.51600000000000001</v>
          </cell>
          <cell r="T42">
            <v>1.0069999999999999</v>
          </cell>
          <cell r="U42">
            <v>0.188</v>
          </cell>
          <cell r="V42">
            <v>0.17899999999999999</v>
          </cell>
          <cell r="AD42">
            <v>318</v>
          </cell>
          <cell r="AE42">
            <v>25</v>
          </cell>
          <cell r="AG42">
            <v>56</v>
          </cell>
          <cell r="AH42">
            <v>16</v>
          </cell>
          <cell r="AJ42">
            <v>175</v>
          </cell>
          <cell r="AK42">
            <v>60</v>
          </cell>
          <cell r="AM42">
            <v>310</v>
          </cell>
          <cell r="AN42">
            <v>5</v>
          </cell>
          <cell r="AQ42">
            <v>45</v>
          </cell>
          <cell r="AR42">
            <v>45</v>
          </cell>
        </row>
        <row r="43">
          <cell r="A43" t="str">
            <v>BB47_1</v>
          </cell>
          <cell r="G43">
            <v>297.60000000000002</v>
          </cell>
          <cell r="H43">
            <v>9.8000000000000004E-2</v>
          </cell>
          <cell r="M43">
            <v>1.0333000000000001</v>
          </cell>
          <cell r="N43">
            <v>1.0006999999999999</v>
          </cell>
          <cell r="O43">
            <v>0.96599999999999997</v>
          </cell>
          <cell r="S43">
            <v>0.64</v>
          </cell>
          <cell r="T43">
            <v>1.0029999999999999</v>
          </cell>
          <cell r="U43">
            <v>4.7E-2</v>
          </cell>
          <cell r="V43">
            <v>0.03</v>
          </cell>
          <cell r="AD43">
            <v>20</v>
          </cell>
          <cell r="AE43">
            <v>3</v>
          </cell>
          <cell r="AG43">
            <v>110</v>
          </cell>
          <cell r="AH43">
            <v>3</v>
          </cell>
          <cell r="AJ43">
            <v>241</v>
          </cell>
          <cell r="AK43">
            <v>86</v>
          </cell>
          <cell r="AM43">
            <v>199</v>
          </cell>
          <cell r="AN43">
            <v>40</v>
          </cell>
          <cell r="AQ43">
            <v>90</v>
          </cell>
          <cell r="AR43">
            <v>22</v>
          </cell>
        </row>
        <row r="44">
          <cell r="A44" t="str">
            <v>BB47_2</v>
          </cell>
          <cell r="G44">
            <v>310.2</v>
          </cell>
          <cell r="H44">
            <v>5.2999999999999999E-2</v>
          </cell>
          <cell r="M44">
            <v>1.0317000000000001</v>
          </cell>
          <cell r="N44">
            <v>1.0004999999999999</v>
          </cell>
          <cell r="O44">
            <v>0.96779999999999999</v>
          </cell>
          <cell r="S44">
            <v>0.64700000000000002</v>
          </cell>
          <cell r="T44">
            <v>1.002</v>
          </cell>
          <cell r="U44">
            <v>3.7999999999999999E-2</v>
          </cell>
          <cell r="V44">
            <v>2.1999999999999999E-2</v>
          </cell>
          <cell r="AD44">
            <v>20</v>
          </cell>
          <cell r="AE44">
            <v>3</v>
          </cell>
          <cell r="AG44">
            <v>110</v>
          </cell>
          <cell r="AH44">
            <v>3</v>
          </cell>
          <cell r="AJ44">
            <v>248</v>
          </cell>
          <cell r="AK44">
            <v>86</v>
          </cell>
          <cell r="AM44">
            <v>200</v>
          </cell>
          <cell r="AN44">
            <v>40</v>
          </cell>
          <cell r="AQ44">
            <v>90</v>
          </cell>
          <cell r="AR44">
            <v>22</v>
          </cell>
        </row>
        <row r="45">
          <cell r="A45" t="str">
            <v>BB47_3</v>
          </cell>
          <cell r="G45">
            <v>306.10000000000002</v>
          </cell>
          <cell r="H45">
            <v>8.6999999999999994E-2</v>
          </cell>
          <cell r="M45">
            <v>1.0314000000000001</v>
          </cell>
          <cell r="N45">
            <v>1.0006999999999999</v>
          </cell>
          <cell r="O45">
            <v>0.96799999999999997</v>
          </cell>
          <cell r="S45">
            <v>0.63800000000000001</v>
          </cell>
          <cell r="T45">
            <v>1.0029999999999999</v>
          </cell>
          <cell r="U45">
            <v>4.8000000000000001E-2</v>
          </cell>
          <cell r="V45">
            <v>3.2000000000000001E-2</v>
          </cell>
          <cell r="AD45">
            <v>19</v>
          </cell>
          <cell r="AE45">
            <v>3</v>
          </cell>
          <cell r="AG45">
            <v>109</v>
          </cell>
          <cell r="AH45">
            <v>5</v>
          </cell>
          <cell r="AJ45">
            <v>253</v>
          </cell>
          <cell r="AK45">
            <v>84</v>
          </cell>
          <cell r="AM45">
            <v>198</v>
          </cell>
          <cell r="AN45">
            <v>39</v>
          </cell>
          <cell r="AQ45">
            <v>91</v>
          </cell>
          <cell r="AR45">
            <v>20</v>
          </cell>
        </row>
        <row r="46">
          <cell r="A46" t="str">
            <v>BB48_1</v>
          </cell>
          <cell r="G46">
            <v>234</v>
          </cell>
          <cell r="H46">
            <v>9.2999999999999999E-2</v>
          </cell>
          <cell r="M46">
            <v>1.0342</v>
          </cell>
          <cell r="N46">
            <v>1.0167999999999999</v>
          </cell>
          <cell r="O46">
            <v>0.94899999999999995</v>
          </cell>
          <cell r="S46">
            <v>0.22800000000000001</v>
          </cell>
          <cell r="T46">
            <v>1.0529999999999999</v>
          </cell>
          <cell r="U46">
            <v>0.60399999999999998</v>
          </cell>
          <cell r="V46">
            <v>0.59</v>
          </cell>
          <cell r="AD46">
            <v>18</v>
          </cell>
          <cell r="AE46">
            <v>7</v>
          </cell>
          <cell r="AG46">
            <v>281</v>
          </cell>
          <cell r="AH46">
            <v>45</v>
          </cell>
          <cell r="AJ46">
            <v>115</v>
          </cell>
          <cell r="AK46">
            <v>44</v>
          </cell>
          <cell r="AM46">
            <v>8</v>
          </cell>
          <cell r="AN46">
            <v>9</v>
          </cell>
          <cell r="AQ46">
            <v>268</v>
          </cell>
          <cell r="AR46">
            <v>47</v>
          </cell>
        </row>
        <row r="47">
          <cell r="A47" t="str">
            <v>BB48_2</v>
          </cell>
          <cell r="G47">
            <v>234.3</v>
          </cell>
          <cell r="H47">
            <v>0.20899999999999999</v>
          </cell>
          <cell r="M47">
            <v>1.0331999999999999</v>
          </cell>
          <cell r="N47">
            <v>1.0148999999999999</v>
          </cell>
          <cell r="O47">
            <v>0.95189999999999997</v>
          </cell>
          <cell r="S47">
            <v>0.254</v>
          </cell>
          <cell r="T47">
            <v>1.0469999999999999</v>
          </cell>
          <cell r="U47">
            <v>0.56399999999999995</v>
          </cell>
          <cell r="V47">
            <v>0.55000000000000004</v>
          </cell>
          <cell r="AD47">
            <v>16</v>
          </cell>
          <cell r="AE47">
            <v>10</v>
          </cell>
          <cell r="AG47">
            <v>277</v>
          </cell>
          <cell r="AH47">
            <v>45</v>
          </cell>
          <cell r="AJ47">
            <v>115</v>
          </cell>
          <cell r="AK47">
            <v>44</v>
          </cell>
          <cell r="AM47">
            <v>10</v>
          </cell>
          <cell r="AN47">
            <v>11</v>
          </cell>
          <cell r="AQ47">
            <v>268</v>
          </cell>
          <cell r="AR47">
            <v>47</v>
          </cell>
        </row>
        <row r="48">
          <cell r="A48" t="str">
            <v>BB48_3</v>
          </cell>
          <cell r="G48">
            <v>222.6</v>
          </cell>
          <cell r="H48">
            <v>0.155</v>
          </cell>
          <cell r="M48">
            <v>1.0315000000000001</v>
          </cell>
          <cell r="N48">
            <v>1.016</v>
          </cell>
          <cell r="O48">
            <v>0.95250000000000001</v>
          </cell>
          <cell r="S48">
            <v>0.218</v>
          </cell>
          <cell r="T48">
            <v>1.0509999999999999</v>
          </cell>
          <cell r="U48">
            <v>0.62</v>
          </cell>
          <cell r="V48">
            <v>0.60699999999999998</v>
          </cell>
          <cell r="AD48">
            <v>23</v>
          </cell>
          <cell r="AE48">
            <v>3</v>
          </cell>
          <cell r="AG48">
            <v>290</v>
          </cell>
          <cell r="AH48">
            <v>48</v>
          </cell>
          <cell r="AJ48">
            <v>116</v>
          </cell>
          <cell r="AK48">
            <v>42</v>
          </cell>
          <cell r="AM48">
            <v>3</v>
          </cell>
          <cell r="AN48">
            <v>4</v>
          </cell>
          <cell r="AQ48">
            <v>269</v>
          </cell>
          <cell r="AR48">
            <v>49</v>
          </cell>
        </row>
        <row r="49">
          <cell r="A49" t="str">
            <v>BB49_1</v>
          </cell>
          <cell r="G49">
            <v>232.3</v>
          </cell>
          <cell r="H49">
            <v>9.1999999999999998E-2</v>
          </cell>
          <cell r="M49">
            <v>1.0263</v>
          </cell>
          <cell r="N49">
            <v>1.002</v>
          </cell>
          <cell r="O49">
            <v>0.97170000000000001</v>
          </cell>
          <cell r="S49">
            <v>0.57199999999999995</v>
          </cell>
          <cell r="T49">
            <v>1.0069999999999999</v>
          </cell>
          <cell r="U49">
            <v>0.124</v>
          </cell>
          <cell r="V49">
            <v>0.111</v>
          </cell>
          <cell r="AD49">
            <v>205</v>
          </cell>
          <cell r="AE49">
            <v>17</v>
          </cell>
          <cell r="AG49">
            <v>312</v>
          </cell>
          <cell r="AH49">
            <v>45</v>
          </cell>
          <cell r="AJ49">
            <v>100</v>
          </cell>
          <cell r="AK49">
            <v>40</v>
          </cell>
          <cell r="AM49">
            <v>196</v>
          </cell>
          <cell r="AN49">
            <v>5</v>
          </cell>
          <cell r="AQ49">
            <v>102</v>
          </cell>
          <cell r="AR49">
            <v>40</v>
          </cell>
        </row>
        <row r="50">
          <cell r="A50" t="str">
            <v>BB49_2</v>
          </cell>
          <cell r="G50">
            <v>198.1</v>
          </cell>
          <cell r="H50">
            <v>0.13500000000000001</v>
          </cell>
          <cell r="M50">
            <v>1.0268999999999999</v>
          </cell>
          <cell r="N50">
            <v>1.0015000000000001</v>
          </cell>
          <cell r="O50">
            <v>0.97160000000000002</v>
          </cell>
          <cell r="S50">
            <v>0.59699999999999998</v>
          </cell>
          <cell r="T50">
            <v>1.0049999999999999</v>
          </cell>
          <cell r="U50">
            <v>9.4E-2</v>
          </cell>
          <cell r="V50">
            <v>0.08</v>
          </cell>
          <cell r="AD50">
            <v>204</v>
          </cell>
          <cell r="AE50">
            <v>14</v>
          </cell>
          <cell r="AG50">
            <v>310</v>
          </cell>
          <cell r="AH50">
            <v>47</v>
          </cell>
          <cell r="AJ50">
            <v>102</v>
          </cell>
          <cell r="AK50">
            <v>39</v>
          </cell>
          <cell r="AM50">
            <v>194</v>
          </cell>
          <cell r="AN50">
            <v>3</v>
          </cell>
          <cell r="AQ50">
            <v>101</v>
          </cell>
          <cell r="AR50">
            <v>41</v>
          </cell>
        </row>
        <row r="51">
          <cell r="A51" t="str">
            <v>BB49_3</v>
          </cell>
          <cell r="G51">
            <v>216.2</v>
          </cell>
          <cell r="H51">
            <v>0.20799999999999999</v>
          </cell>
          <cell r="M51">
            <v>1.0304</v>
          </cell>
          <cell r="N51">
            <v>1.0004</v>
          </cell>
          <cell r="O51">
            <v>0.96909999999999996</v>
          </cell>
          <cell r="S51">
            <v>0.64800000000000002</v>
          </cell>
          <cell r="T51">
            <v>1.002</v>
          </cell>
          <cell r="U51">
            <v>3.6999999999999998E-2</v>
          </cell>
          <cell r="V51">
            <v>2.1000000000000001E-2</v>
          </cell>
          <cell r="AD51">
            <v>299</v>
          </cell>
          <cell r="AE51">
            <v>22</v>
          </cell>
          <cell r="AG51">
            <v>50</v>
          </cell>
          <cell r="AH51">
            <v>43</v>
          </cell>
          <cell r="AJ51">
            <v>189</v>
          </cell>
          <cell r="AK51">
            <v>39</v>
          </cell>
          <cell r="AM51">
            <v>201</v>
          </cell>
          <cell r="AN51">
            <v>9</v>
          </cell>
          <cell r="AQ51">
            <v>103</v>
          </cell>
          <cell r="AR51">
            <v>40</v>
          </cell>
        </row>
        <row r="52">
          <cell r="A52" t="str">
            <v>BB50_1</v>
          </cell>
          <cell r="G52">
            <v>193.1</v>
          </cell>
          <cell r="H52">
            <v>0.11799999999999999</v>
          </cell>
          <cell r="M52">
            <v>1.0438000000000001</v>
          </cell>
          <cell r="N52">
            <v>0.99339999999999995</v>
          </cell>
          <cell r="O52">
            <v>0.96279999999999999</v>
          </cell>
          <cell r="S52">
            <v>0.90300000000000002</v>
          </cell>
          <cell r="T52">
            <v>0.98199999999999998</v>
          </cell>
          <cell r="U52">
            <v>-0.22500000000000001</v>
          </cell>
          <cell r="V52">
            <v>-0.24399999999999999</v>
          </cell>
          <cell r="AD52">
            <v>267</v>
          </cell>
          <cell r="AE52">
            <v>6</v>
          </cell>
          <cell r="AG52">
            <v>359</v>
          </cell>
          <cell r="AH52">
            <v>19</v>
          </cell>
          <cell r="AJ52">
            <v>161</v>
          </cell>
          <cell r="AK52">
            <v>70</v>
          </cell>
          <cell r="AM52">
            <v>4</v>
          </cell>
          <cell r="AN52">
            <v>4</v>
          </cell>
          <cell r="AQ52">
            <v>101</v>
          </cell>
          <cell r="AR52">
            <v>59</v>
          </cell>
        </row>
        <row r="53">
          <cell r="A53" t="str">
            <v>BB50_2</v>
          </cell>
          <cell r="G53">
            <v>162.5</v>
          </cell>
          <cell r="H53">
            <v>0.17100000000000001</v>
          </cell>
          <cell r="M53">
            <v>1.0389999999999999</v>
          </cell>
          <cell r="N53">
            <v>0.99439999999999995</v>
          </cell>
          <cell r="O53">
            <v>0.96660000000000001</v>
          </cell>
          <cell r="S53">
            <v>0.89</v>
          </cell>
          <cell r="T53">
            <v>0.98499999999999999</v>
          </cell>
          <cell r="U53">
            <v>-0.215</v>
          </cell>
          <cell r="V53">
            <v>-0.23200000000000001</v>
          </cell>
          <cell r="AD53">
            <v>277</v>
          </cell>
          <cell r="AE53">
            <v>0</v>
          </cell>
          <cell r="AG53">
            <v>7</v>
          </cell>
          <cell r="AH53">
            <v>20</v>
          </cell>
          <cell r="AJ53">
            <v>187</v>
          </cell>
          <cell r="AK53">
            <v>70</v>
          </cell>
          <cell r="AM53">
            <v>186</v>
          </cell>
          <cell r="AN53">
            <v>7</v>
          </cell>
          <cell r="AQ53">
            <v>84</v>
          </cell>
          <cell r="AR53">
            <v>60</v>
          </cell>
        </row>
        <row r="54">
          <cell r="A54" t="str">
            <v>BB50_3</v>
          </cell>
          <cell r="G54">
            <v>188.9</v>
          </cell>
          <cell r="H54">
            <v>0.25</v>
          </cell>
          <cell r="M54">
            <v>1.0348999999999999</v>
          </cell>
          <cell r="N54">
            <v>1.0008999999999999</v>
          </cell>
          <cell r="O54">
            <v>0.96419999999999995</v>
          </cell>
          <cell r="S54">
            <v>0.63200000000000001</v>
          </cell>
          <cell r="T54">
            <v>1.004</v>
          </cell>
          <cell r="U54">
            <v>5.7000000000000002E-2</v>
          </cell>
          <cell r="V54">
            <v>3.9E-2</v>
          </cell>
          <cell r="AD54">
            <v>99</v>
          </cell>
          <cell r="AE54">
            <v>0</v>
          </cell>
          <cell r="AG54">
            <v>8</v>
          </cell>
          <cell r="AH54">
            <v>15</v>
          </cell>
          <cell r="AJ54">
            <v>190</v>
          </cell>
          <cell r="AK54">
            <v>75</v>
          </cell>
          <cell r="AM54">
            <v>187</v>
          </cell>
          <cell r="AN54">
            <v>9</v>
          </cell>
          <cell r="AQ54">
            <v>84</v>
          </cell>
          <cell r="AR54">
            <v>55</v>
          </cell>
        </row>
        <row r="55">
          <cell r="A55" t="str">
            <v>BB51_2</v>
          </cell>
          <cell r="G55">
            <v>128</v>
          </cell>
          <cell r="H55">
            <v>0.23400000000000001</v>
          </cell>
          <cell r="M55">
            <v>1.0444</v>
          </cell>
          <cell r="N55">
            <v>0.997</v>
          </cell>
          <cell r="O55">
            <v>0.95860000000000001</v>
          </cell>
          <cell r="S55">
            <v>0.76400000000000001</v>
          </cell>
          <cell r="T55">
            <v>0.99299999999999999</v>
          </cell>
          <cell r="U55">
            <v>-8.5000000000000006E-2</v>
          </cell>
          <cell r="V55">
            <v>-0.106</v>
          </cell>
          <cell r="AD55">
            <v>3</v>
          </cell>
          <cell r="AE55">
            <v>36</v>
          </cell>
          <cell r="AG55">
            <v>240</v>
          </cell>
          <cell r="AH55">
            <v>36</v>
          </cell>
          <cell r="AJ55">
            <v>122</v>
          </cell>
          <cell r="AK55">
            <v>33</v>
          </cell>
          <cell r="AM55">
            <v>317</v>
          </cell>
          <cell r="AN55">
            <v>16</v>
          </cell>
          <cell r="AQ55">
            <v>94</v>
          </cell>
          <cell r="AR55">
            <v>69</v>
          </cell>
        </row>
        <row r="56">
          <cell r="A56" t="str">
            <v>BB51_3</v>
          </cell>
          <cell r="G56">
            <v>106</v>
          </cell>
          <cell r="H56">
            <v>0.14399999999999999</v>
          </cell>
          <cell r="M56">
            <v>1.0410999999999999</v>
          </cell>
          <cell r="N56">
            <v>1.0011000000000001</v>
          </cell>
          <cell r="O56">
            <v>0.95779999999999998</v>
          </cell>
          <cell r="S56">
            <v>0.63200000000000001</v>
          </cell>
          <cell r="T56">
            <v>1.0049999999999999</v>
          </cell>
          <cell r="U56">
            <v>0.06</v>
          </cell>
          <cell r="V56">
            <v>0.04</v>
          </cell>
          <cell r="AD56">
            <v>6</v>
          </cell>
          <cell r="AE56">
            <v>39</v>
          </cell>
          <cell r="AG56">
            <v>238</v>
          </cell>
          <cell r="AH56">
            <v>37</v>
          </cell>
          <cell r="AJ56">
            <v>122</v>
          </cell>
          <cell r="AK56">
            <v>29</v>
          </cell>
          <cell r="AM56">
            <v>315</v>
          </cell>
          <cell r="AN56">
            <v>13</v>
          </cell>
          <cell r="AQ56">
            <v>93</v>
          </cell>
          <cell r="AR56">
            <v>73</v>
          </cell>
        </row>
        <row r="57">
          <cell r="A57" t="str">
            <v>BB51_4</v>
          </cell>
          <cell r="G57">
            <v>116.1</v>
          </cell>
          <cell r="H57">
            <v>0.16</v>
          </cell>
          <cell r="M57">
            <v>1.0477000000000001</v>
          </cell>
          <cell r="N57">
            <v>0.99939999999999996</v>
          </cell>
          <cell r="O57">
            <v>0.95289999999999997</v>
          </cell>
          <cell r="S57">
            <v>0.68300000000000005</v>
          </cell>
          <cell r="T57">
            <v>1.0009999999999999</v>
          </cell>
          <cell r="U57">
            <v>5.0000000000000001E-3</v>
          </cell>
          <cell r="V57">
            <v>-1.7999999999999999E-2</v>
          </cell>
          <cell r="AD57">
            <v>3</v>
          </cell>
          <cell r="AE57">
            <v>37</v>
          </cell>
          <cell r="AG57">
            <v>243</v>
          </cell>
          <cell r="AH57">
            <v>34</v>
          </cell>
          <cell r="AJ57">
            <v>125</v>
          </cell>
          <cell r="AK57">
            <v>35</v>
          </cell>
          <cell r="AM57">
            <v>315</v>
          </cell>
          <cell r="AN57">
            <v>15</v>
          </cell>
          <cell r="AQ57">
            <v>86</v>
          </cell>
          <cell r="AR57">
            <v>67</v>
          </cell>
        </row>
        <row r="58">
          <cell r="A58" t="str">
            <v>BB52_1</v>
          </cell>
          <cell r="G58">
            <v>172.3</v>
          </cell>
          <cell r="H58">
            <v>0.29699999999999999</v>
          </cell>
          <cell r="M58">
            <v>1.0475000000000001</v>
          </cell>
          <cell r="N58">
            <v>1.0018</v>
          </cell>
          <cell r="O58">
            <v>0.95069999999999999</v>
          </cell>
          <cell r="S58">
            <v>0.61799999999999999</v>
          </cell>
          <cell r="T58">
            <v>1.008</v>
          </cell>
          <cell r="U58">
            <v>0.08</v>
          </cell>
          <cell r="V58">
            <v>5.6000000000000001E-2</v>
          </cell>
          <cell r="AD58">
            <v>37</v>
          </cell>
          <cell r="AE58">
            <v>37</v>
          </cell>
          <cell r="AG58">
            <v>292</v>
          </cell>
          <cell r="AH58">
            <v>20</v>
          </cell>
          <cell r="AJ58">
            <v>180</v>
          </cell>
          <cell r="AK58">
            <v>47</v>
          </cell>
          <cell r="AM58">
            <v>21</v>
          </cell>
          <cell r="AN58">
            <v>45</v>
          </cell>
          <cell r="AQ58">
            <v>282</v>
          </cell>
          <cell r="AR58">
            <v>9</v>
          </cell>
        </row>
        <row r="59">
          <cell r="A59" t="str">
            <v>BB52_2</v>
          </cell>
          <cell r="G59">
            <v>166.9</v>
          </cell>
          <cell r="H59">
            <v>0.17699999999999999</v>
          </cell>
          <cell r="M59">
            <v>1.048</v>
          </cell>
          <cell r="N59">
            <v>1.0026999999999999</v>
          </cell>
          <cell r="O59">
            <v>0.94930000000000003</v>
          </cell>
          <cell r="S59">
            <v>0.59499999999999997</v>
          </cell>
          <cell r="T59">
            <v>1.0109999999999999</v>
          </cell>
          <cell r="U59">
            <v>0.108</v>
          </cell>
          <cell r="V59">
            <v>8.3000000000000004E-2</v>
          </cell>
          <cell r="AD59">
            <v>37</v>
          </cell>
          <cell r="AE59">
            <v>36</v>
          </cell>
          <cell r="AG59">
            <v>292</v>
          </cell>
          <cell r="AH59">
            <v>19</v>
          </cell>
          <cell r="AJ59">
            <v>179</v>
          </cell>
          <cell r="AK59">
            <v>48</v>
          </cell>
          <cell r="AM59">
            <v>19</v>
          </cell>
          <cell r="AN59">
            <v>46</v>
          </cell>
          <cell r="AQ59">
            <v>281</v>
          </cell>
          <cell r="AR59">
            <v>8</v>
          </cell>
        </row>
        <row r="60">
          <cell r="A60" t="str">
            <v>BB53_1</v>
          </cell>
          <cell r="G60">
            <v>380.1</v>
          </cell>
          <cell r="H60">
            <v>7.1999999999999995E-2</v>
          </cell>
          <cell r="M60">
            <v>1.0505</v>
          </cell>
          <cell r="N60">
            <v>1.0089999999999999</v>
          </cell>
          <cell r="O60">
            <v>0.94059999999999999</v>
          </cell>
          <cell r="S60">
            <v>0.46600000000000003</v>
          </cell>
          <cell r="T60">
            <v>1.03</v>
          </cell>
          <cell r="U60">
            <v>0.27</v>
          </cell>
          <cell r="V60">
            <v>0.24399999999999999</v>
          </cell>
          <cell r="AD60">
            <v>191</v>
          </cell>
          <cell r="AE60">
            <v>87</v>
          </cell>
          <cell r="AG60">
            <v>352</v>
          </cell>
          <cell r="AH60">
            <v>3</v>
          </cell>
          <cell r="AJ60">
            <v>82</v>
          </cell>
          <cell r="AK60">
            <v>1</v>
          </cell>
          <cell r="AM60">
            <v>87</v>
          </cell>
          <cell r="AN60">
            <v>55</v>
          </cell>
          <cell r="AQ60">
            <v>189</v>
          </cell>
          <cell r="AR60">
            <v>8</v>
          </cell>
        </row>
        <row r="61">
          <cell r="A61" t="str">
            <v>BB53_2</v>
          </cell>
          <cell r="G61">
            <v>338.4</v>
          </cell>
          <cell r="H61">
            <v>7.2999999999999995E-2</v>
          </cell>
          <cell r="M61">
            <v>1.0508</v>
          </cell>
          <cell r="N61">
            <v>1.0134000000000001</v>
          </cell>
          <cell r="O61">
            <v>0.93569999999999998</v>
          </cell>
          <cell r="S61">
            <v>0.38800000000000001</v>
          </cell>
          <cell r="T61">
            <v>1.0449999999999999</v>
          </cell>
          <cell r="U61">
            <v>0.375</v>
          </cell>
          <cell r="V61">
            <v>0.35</v>
          </cell>
          <cell r="AD61">
            <v>207</v>
          </cell>
          <cell r="AE61">
            <v>84</v>
          </cell>
          <cell r="AG61">
            <v>353</v>
          </cell>
          <cell r="AH61">
            <v>5</v>
          </cell>
          <cell r="AJ61">
            <v>83</v>
          </cell>
          <cell r="AK61">
            <v>3</v>
          </cell>
          <cell r="AM61">
            <v>82</v>
          </cell>
          <cell r="AN61">
            <v>57</v>
          </cell>
          <cell r="AQ61">
            <v>188</v>
          </cell>
          <cell r="AR61">
            <v>10</v>
          </cell>
        </row>
        <row r="62">
          <cell r="A62" t="str">
            <v>BB53_3</v>
          </cell>
          <cell r="G62">
            <v>346.2</v>
          </cell>
          <cell r="H62">
            <v>8.4000000000000005E-2</v>
          </cell>
          <cell r="M62">
            <v>1.0488</v>
          </cell>
          <cell r="N62">
            <v>1.0079</v>
          </cell>
          <cell r="O62">
            <v>0.94330000000000003</v>
          </cell>
          <cell r="S62">
            <v>0.48099999999999998</v>
          </cell>
          <cell r="T62">
            <v>1.0269999999999999</v>
          </cell>
          <cell r="U62">
            <v>0.249</v>
          </cell>
          <cell r="V62">
            <v>0.224</v>
          </cell>
          <cell r="AD62">
            <v>239</v>
          </cell>
          <cell r="AE62">
            <v>88</v>
          </cell>
          <cell r="AG62">
            <v>350</v>
          </cell>
          <cell r="AH62">
            <v>1</v>
          </cell>
          <cell r="AJ62">
            <v>80</v>
          </cell>
          <cell r="AK62">
            <v>2</v>
          </cell>
          <cell r="AM62">
            <v>86</v>
          </cell>
          <cell r="AN62">
            <v>53</v>
          </cell>
          <cell r="AQ62">
            <v>186</v>
          </cell>
          <cell r="AR62">
            <v>7</v>
          </cell>
        </row>
        <row r="64">
          <cell r="A64" t="str">
            <v>BB54_1</v>
          </cell>
          <cell r="G64">
            <v>344.2</v>
          </cell>
          <cell r="H64">
            <v>5.3999999999999999E-2</v>
          </cell>
          <cell r="M64">
            <v>1.0382</v>
          </cell>
          <cell r="N64">
            <v>1.0014000000000001</v>
          </cell>
          <cell r="O64">
            <v>0.96050000000000002</v>
          </cell>
          <cell r="S64">
            <v>0.62</v>
          </cell>
          <cell r="T64">
            <v>1.006</v>
          </cell>
          <cell r="U64">
            <v>7.1999999999999995E-2</v>
          </cell>
          <cell r="V64">
            <v>5.2999999999999999E-2</v>
          </cell>
          <cell r="AD64">
            <v>317</v>
          </cell>
          <cell r="AE64">
            <v>55</v>
          </cell>
          <cell r="AG64">
            <v>141</v>
          </cell>
          <cell r="AH64">
            <v>35</v>
          </cell>
          <cell r="AJ64">
            <v>50</v>
          </cell>
          <cell r="AK64">
            <v>2</v>
          </cell>
          <cell r="AM64">
            <v>87</v>
          </cell>
          <cell r="AN64">
            <v>34</v>
          </cell>
          <cell r="AQ64">
            <v>179</v>
          </cell>
          <cell r="AR64">
            <v>2</v>
          </cell>
        </row>
        <row r="65">
          <cell r="A65" t="str">
            <v>BB54_2</v>
          </cell>
          <cell r="G65">
            <v>386.2</v>
          </cell>
          <cell r="H65">
            <v>2.1999999999999999E-2</v>
          </cell>
          <cell r="M65">
            <v>1.0396000000000001</v>
          </cell>
          <cell r="N65">
            <v>1.0013000000000001</v>
          </cell>
          <cell r="O65">
            <v>0.95909999999999995</v>
          </cell>
          <cell r="S65">
            <v>0.624</v>
          </cell>
          <cell r="T65">
            <v>1.006</v>
          </cell>
          <cell r="U65">
            <v>6.9000000000000006E-2</v>
          </cell>
          <cell r="V65">
            <v>4.9000000000000002E-2</v>
          </cell>
          <cell r="AD65">
            <v>315</v>
          </cell>
          <cell r="AE65">
            <v>56</v>
          </cell>
          <cell r="AG65">
            <v>145</v>
          </cell>
          <cell r="AH65">
            <v>34</v>
          </cell>
          <cell r="AJ65">
            <v>52</v>
          </cell>
          <cell r="AK65">
            <v>4</v>
          </cell>
          <cell r="AM65">
            <v>86</v>
          </cell>
          <cell r="AN65">
            <v>35</v>
          </cell>
          <cell r="AQ65">
            <v>179</v>
          </cell>
          <cell r="AR65">
            <v>5</v>
          </cell>
        </row>
        <row r="66">
          <cell r="A66" t="str">
            <v>BB54_3</v>
          </cell>
          <cell r="G66">
            <v>299.8</v>
          </cell>
          <cell r="H66">
            <v>9.5000000000000001E-2</v>
          </cell>
          <cell r="M66">
            <v>1.042</v>
          </cell>
          <cell r="N66">
            <v>1.0003</v>
          </cell>
          <cell r="O66">
            <v>0.9577</v>
          </cell>
          <cell r="S66">
            <v>0.65600000000000003</v>
          </cell>
          <cell r="T66">
            <v>1.0029999999999999</v>
          </cell>
          <cell r="U66">
            <v>3.3000000000000002E-2</v>
          </cell>
          <cell r="V66">
            <v>1.2E-2</v>
          </cell>
          <cell r="AD66">
            <v>313</v>
          </cell>
          <cell r="AE66">
            <v>56</v>
          </cell>
          <cell r="AG66">
            <v>137</v>
          </cell>
          <cell r="AH66">
            <v>34</v>
          </cell>
          <cell r="AJ66">
            <v>46</v>
          </cell>
          <cell r="AK66">
            <v>2</v>
          </cell>
          <cell r="AM66">
            <v>85</v>
          </cell>
          <cell r="AN66">
            <v>35</v>
          </cell>
          <cell r="AQ66">
            <v>175</v>
          </cell>
          <cell r="AR66">
            <v>0</v>
          </cell>
        </row>
        <row r="67">
          <cell r="A67" t="str">
            <v>BB55_1</v>
          </cell>
          <cell r="G67">
            <v>407.7</v>
          </cell>
          <cell r="H67">
            <v>2.4E-2</v>
          </cell>
          <cell r="M67">
            <v>1.0412999999999999</v>
          </cell>
          <cell r="N67">
            <v>1.0035000000000001</v>
          </cell>
          <cell r="O67">
            <v>0.95530000000000004</v>
          </cell>
          <cell r="S67">
            <v>0.56299999999999994</v>
          </cell>
          <cell r="T67">
            <v>1.012</v>
          </cell>
          <cell r="U67">
            <v>0.14299999999999999</v>
          </cell>
          <cell r="V67">
            <v>0.121</v>
          </cell>
          <cell r="AD67">
            <v>223</v>
          </cell>
          <cell r="AE67">
            <v>10</v>
          </cell>
          <cell r="AG67">
            <v>319</v>
          </cell>
          <cell r="AH67">
            <v>27</v>
          </cell>
          <cell r="AJ67">
            <v>114</v>
          </cell>
          <cell r="AK67">
            <v>61</v>
          </cell>
          <cell r="AM67">
            <v>248</v>
          </cell>
          <cell r="AN67">
            <v>62</v>
          </cell>
          <cell r="AQ67">
            <v>117</v>
          </cell>
          <cell r="AR67">
            <v>19</v>
          </cell>
        </row>
        <row r="68">
          <cell r="A68" t="str">
            <v>BB55_2</v>
          </cell>
          <cell r="G68">
            <v>381.2</v>
          </cell>
          <cell r="H68">
            <v>4.7E-2</v>
          </cell>
          <cell r="M68">
            <v>1.0402</v>
          </cell>
          <cell r="N68">
            <v>0.99980000000000002</v>
          </cell>
          <cell r="O68">
            <v>0.96</v>
          </cell>
          <cell r="S68">
            <v>0.67300000000000004</v>
          </cell>
          <cell r="T68">
            <v>1.0009999999999999</v>
          </cell>
          <cell r="U68">
            <v>1.2999999999999999E-2</v>
          </cell>
          <cell r="V68">
            <v>-7.0000000000000001E-3</v>
          </cell>
          <cell r="AD68">
            <v>240</v>
          </cell>
          <cell r="AE68">
            <v>11</v>
          </cell>
          <cell r="AG68">
            <v>144</v>
          </cell>
          <cell r="AH68">
            <v>27</v>
          </cell>
          <cell r="AJ68">
            <v>349</v>
          </cell>
          <cell r="AK68">
            <v>60</v>
          </cell>
          <cell r="AM68">
            <v>284</v>
          </cell>
          <cell r="AN68">
            <v>63</v>
          </cell>
          <cell r="AQ68">
            <v>62</v>
          </cell>
          <cell r="AR68">
            <v>21</v>
          </cell>
        </row>
        <row r="69">
          <cell r="A69" t="str">
            <v>BB55_3</v>
          </cell>
          <cell r="G69">
            <v>410.7</v>
          </cell>
          <cell r="H69">
            <v>6.0999999999999999E-2</v>
          </cell>
          <cell r="M69">
            <v>1.0416000000000001</v>
          </cell>
          <cell r="N69">
            <v>1.0019</v>
          </cell>
          <cell r="O69">
            <v>0.95650000000000002</v>
          </cell>
          <cell r="S69">
            <v>0.60799999999999998</v>
          </cell>
          <cell r="T69">
            <v>1.008</v>
          </cell>
          <cell r="U69">
            <v>8.8999999999999996E-2</v>
          </cell>
          <cell r="V69">
            <v>6.7000000000000004E-2</v>
          </cell>
          <cell r="AD69">
            <v>222</v>
          </cell>
          <cell r="AE69">
            <v>10</v>
          </cell>
          <cell r="AG69">
            <v>317</v>
          </cell>
          <cell r="AH69">
            <v>26</v>
          </cell>
          <cell r="AJ69">
            <v>113</v>
          </cell>
          <cell r="AK69">
            <v>62</v>
          </cell>
          <cell r="AM69">
            <v>247</v>
          </cell>
          <cell r="AN69">
            <v>61</v>
          </cell>
          <cell r="AQ69">
            <v>116</v>
          </cell>
          <cell r="AR69">
            <v>20</v>
          </cell>
        </row>
        <row r="70">
          <cell r="A70" t="str">
            <v>BB56_1</v>
          </cell>
          <cell r="G70">
            <v>336.6</v>
          </cell>
          <cell r="H70">
            <v>5.3999999999999999E-2</v>
          </cell>
          <cell r="M70">
            <v>1.0425</v>
          </cell>
          <cell r="N70">
            <v>1.0009999999999999</v>
          </cell>
          <cell r="O70">
            <v>0.95660000000000001</v>
          </cell>
          <cell r="S70">
            <v>0.63700000000000001</v>
          </cell>
          <cell r="T70">
            <v>1.0049999999999999</v>
          </cell>
          <cell r="U70">
            <v>5.5E-2</v>
          </cell>
          <cell r="V70">
            <v>3.4000000000000002E-2</v>
          </cell>
          <cell r="AD70">
            <v>52</v>
          </cell>
          <cell r="AE70">
            <v>89</v>
          </cell>
          <cell r="AG70">
            <v>164</v>
          </cell>
          <cell r="AH70">
            <v>1</v>
          </cell>
          <cell r="AJ70">
            <v>254</v>
          </cell>
          <cell r="AK70">
            <v>1</v>
          </cell>
          <cell r="AM70">
            <v>92</v>
          </cell>
          <cell r="AN70">
            <v>57</v>
          </cell>
          <cell r="AQ70">
            <v>355</v>
          </cell>
          <cell r="AR70">
            <v>4</v>
          </cell>
        </row>
        <row r="71">
          <cell r="A71" t="str">
            <v>BB56_2</v>
          </cell>
          <cell r="G71">
            <v>342.1</v>
          </cell>
          <cell r="H71">
            <v>4.3999999999999997E-2</v>
          </cell>
          <cell r="M71">
            <v>1.0444</v>
          </cell>
          <cell r="N71">
            <v>1.0004999999999999</v>
          </cell>
          <cell r="O71">
            <v>0.95509999999999995</v>
          </cell>
          <cell r="S71">
            <v>0.65100000000000002</v>
          </cell>
          <cell r="T71">
            <v>1.004</v>
          </cell>
          <cell r="U71">
            <v>0.04</v>
          </cell>
          <cell r="V71">
            <v>1.7000000000000001E-2</v>
          </cell>
          <cell r="AD71">
            <v>21</v>
          </cell>
          <cell r="AE71">
            <v>86</v>
          </cell>
          <cell r="AG71">
            <v>164</v>
          </cell>
          <cell r="AH71">
            <v>3</v>
          </cell>
          <cell r="AJ71">
            <v>254</v>
          </cell>
          <cell r="AK71">
            <v>2</v>
          </cell>
          <cell r="AM71">
            <v>94</v>
          </cell>
          <cell r="AN71">
            <v>55</v>
          </cell>
          <cell r="AQ71">
            <v>356</v>
          </cell>
          <cell r="AR71">
            <v>6</v>
          </cell>
        </row>
        <row r="72">
          <cell r="A72" t="str">
            <v>BB56_3</v>
          </cell>
          <cell r="G72">
            <v>360.7</v>
          </cell>
          <cell r="H72">
            <v>0.04</v>
          </cell>
          <cell r="M72">
            <v>1.0411999999999999</v>
          </cell>
          <cell r="N72">
            <v>1.006</v>
          </cell>
          <cell r="O72">
            <v>0.95279999999999998</v>
          </cell>
          <cell r="S72">
            <v>0.497</v>
          </cell>
          <cell r="T72">
            <v>1.02</v>
          </cell>
          <cell r="U72">
            <v>0.22500000000000001</v>
          </cell>
          <cell r="V72">
            <v>0.20300000000000001</v>
          </cell>
          <cell r="AD72">
            <v>116</v>
          </cell>
          <cell r="AE72">
            <v>88</v>
          </cell>
          <cell r="AG72">
            <v>335</v>
          </cell>
          <cell r="AH72">
            <v>2</v>
          </cell>
          <cell r="AJ72">
            <v>245</v>
          </cell>
          <cell r="AK72">
            <v>2</v>
          </cell>
          <cell r="AM72">
            <v>94</v>
          </cell>
          <cell r="AN72">
            <v>59</v>
          </cell>
          <cell r="AQ72">
            <v>347</v>
          </cell>
          <cell r="AR72">
            <v>10</v>
          </cell>
        </row>
        <row r="73">
          <cell r="A73" t="str">
            <v>BB57_1</v>
          </cell>
          <cell r="G73">
            <v>313.10000000000002</v>
          </cell>
          <cell r="H73">
            <v>5.3999999999999999E-2</v>
          </cell>
          <cell r="M73">
            <v>1.0385</v>
          </cell>
          <cell r="N73">
            <v>1.0011000000000001</v>
          </cell>
          <cell r="O73">
            <v>0.96040000000000003</v>
          </cell>
          <cell r="S73">
            <v>0.629</v>
          </cell>
          <cell r="T73">
            <v>1.0049999999999999</v>
          </cell>
          <cell r="U73">
            <v>6.3E-2</v>
          </cell>
          <cell r="V73">
            <v>4.2999999999999997E-2</v>
          </cell>
          <cell r="AD73">
            <v>187</v>
          </cell>
          <cell r="AE73">
            <v>40</v>
          </cell>
          <cell r="AG73">
            <v>37</v>
          </cell>
          <cell r="AH73">
            <v>46</v>
          </cell>
          <cell r="AJ73">
            <v>291</v>
          </cell>
          <cell r="AK73">
            <v>16</v>
          </cell>
          <cell r="AM73">
            <v>81</v>
          </cell>
          <cell r="AN73">
            <v>72</v>
          </cell>
          <cell r="AQ73">
            <v>201</v>
          </cell>
          <cell r="AR73">
            <v>9</v>
          </cell>
        </row>
        <row r="74">
          <cell r="A74" t="str">
            <v>BB57_2</v>
          </cell>
          <cell r="G74">
            <v>356.9</v>
          </cell>
          <cell r="H74">
            <v>6.9000000000000006E-2</v>
          </cell>
          <cell r="M74">
            <v>1.0421</v>
          </cell>
          <cell r="N74">
            <v>1.0001</v>
          </cell>
          <cell r="O74">
            <v>0.95789999999999997</v>
          </cell>
          <cell r="S74">
            <v>0.66500000000000004</v>
          </cell>
          <cell r="T74">
            <v>1.002</v>
          </cell>
          <cell r="U74">
            <v>2.3E-2</v>
          </cell>
          <cell r="V74">
            <v>2E-3</v>
          </cell>
          <cell r="AD74">
            <v>180</v>
          </cell>
          <cell r="AE74">
            <v>45</v>
          </cell>
          <cell r="AG74">
            <v>29</v>
          </cell>
          <cell r="AH74">
            <v>42</v>
          </cell>
          <cell r="AJ74">
            <v>285</v>
          </cell>
          <cell r="AK74">
            <v>15</v>
          </cell>
          <cell r="AM74">
            <v>97</v>
          </cell>
          <cell r="AN74">
            <v>68</v>
          </cell>
          <cell r="AQ74">
            <v>198</v>
          </cell>
          <cell r="AR74">
            <v>5</v>
          </cell>
        </row>
        <row r="75">
          <cell r="A75" t="str">
            <v>BB57_3</v>
          </cell>
          <cell r="G75">
            <v>352.5</v>
          </cell>
          <cell r="H75">
            <v>0.06</v>
          </cell>
          <cell r="M75">
            <v>1.0411999999999999</v>
          </cell>
          <cell r="N75">
            <v>0.99729999999999996</v>
          </cell>
          <cell r="O75">
            <v>0.96140000000000003</v>
          </cell>
          <cell r="S75">
            <v>0.75900000000000001</v>
          </cell>
          <cell r="T75">
            <v>0.99399999999999999</v>
          </cell>
          <cell r="U75">
            <v>-8.1000000000000003E-2</v>
          </cell>
          <cell r="V75">
            <v>-0.10100000000000001</v>
          </cell>
          <cell r="AD75">
            <v>183</v>
          </cell>
          <cell r="AE75">
            <v>44</v>
          </cell>
          <cell r="AG75">
            <v>28</v>
          </cell>
          <cell r="AH75">
            <v>43</v>
          </cell>
          <cell r="AJ75">
            <v>286</v>
          </cell>
          <cell r="AK75">
            <v>13</v>
          </cell>
          <cell r="AM75">
            <v>91</v>
          </cell>
          <cell r="AN75">
            <v>69</v>
          </cell>
          <cell r="AQ75">
            <v>197</v>
          </cell>
          <cell r="AR75">
            <v>6</v>
          </cell>
        </row>
        <row r="76">
          <cell r="A76" t="str">
            <v>BB60_1</v>
          </cell>
          <cell r="G76">
            <v>413</v>
          </cell>
          <cell r="H76">
            <v>0.06</v>
          </cell>
          <cell r="M76">
            <v>1.0498000000000001</v>
          </cell>
          <cell r="N76">
            <v>0.99129999999999996</v>
          </cell>
          <cell r="O76">
            <v>0.95889999999999997</v>
          </cell>
          <cell r="S76">
            <v>0.94899999999999995</v>
          </cell>
          <cell r="T76">
            <v>0.97599999999999998</v>
          </cell>
          <cell r="U76">
            <v>-0.26600000000000001</v>
          </cell>
          <cell r="V76">
            <v>-0.28699999999999998</v>
          </cell>
          <cell r="AD76">
            <v>23</v>
          </cell>
          <cell r="AE76">
            <v>6</v>
          </cell>
          <cell r="AG76">
            <v>114</v>
          </cell>
          <cell r="AH76">
            <v>8</v>
          </cell>
          <cell r="AJ76">
            <v>257</v>
          </cell>
          <cell r="AK76">
            <v>80</v>
          </cell>
          <cell r="AM76">
            <v>276</v>
          </cell>
          <cell r="AN76">
            <v>68</v>
          </cell>
          <cell r="AQ76">
            <v>99</v>
          </cell>
          <cell r="AR76">
            <v>22</v>
          </cell>
        </row>
        <row r="77">
          <cell r="A77" t="str">
            <v>BB60_2</v>
          </cell>
          <cell r="G77">
            <v>403.7</v>
          </cell>
          <cell r="H77">
            <v>4.3999999999999997E-2</v>
          </cell>
          <cell r="M77">
            <v>1.0461</v>
          </cell>
          <cell r="N77">
            <v>0.99150000000000005</v>
          </cell>
          <cell r="O77">
            <v>0.96240000000000003</v>
          </cell>
          <cell r="S77">
            <v>0.96699999999999997</v>
          </cell>
          <cell r="T77">
            <v>0.97699999999999998</v>
          </cell>
          <cell r="U77">
            <v>-0.28499999999999998</v>
          </cell>
          <cell r="V77">
            <v>-0.30399999999999999</v>
          </cell>
          <cell r="AD77">
            <v>21</v>
          </cell>
          <cell r="AE77">
            <v>4</v>
          </cell>
          <cell r="AG77">
            <v>111</v>
          </cell>
          <cell r="AH77">
            <v>5</v>
          </cell>
          <cell r="AJ77">
            <v>248</v>
          </cell>
          <cell r="AK77">
            <v>83</v>
          </cell>
          <cell r="AM77">
            <v>271</v>
          </cell>
          <cell r="AN77">
            <v>66</v>
          </cell>
          <cell r="AQ77">
            <v>95</v>
          </cell>
          <cell r="AR77">
            <v>23</v>
          </cell>
        </row>
        <row r="78">
          <cell r="A78" t="str">
            <v>BB60_3</v>
          </cell>
          <cell r="G78">
            <v>402.5</v>
          </cell>
          <cell r="H78">
            <v>3.7999999999999999E-2</v>
          </cell>
          <cell r="M78">
            <v>1.0486</v>
          </cell>
          <cell r="N78">
            <v>0.99209999999999998</v>
          </cell>
          <cell r="O78">
            <v>0.95920000000000005</v>
          </cell>
          <cell r="S78">
            <v>0.92400000000000004</v>
          </cell>
          <cell r="T78">
            <v>0.97899999999999998</v>
          </cell>
          <cell r="U78">
            <v>-0.24299999999999999</v>
          </cell>
          <cell r="V78">
            <v>-0.26400000000000001</v>
          </cell>
          <cell r="AD78">
            <v>20</v>
          </cell>
          <cell r="AE78">
            <v>6</v>
          </cell>
          <cell r="AG78">
            <v>110</v>
          </cell>
          <cell r="AH78">
            <v>4</v>
          </cell>
          <cell r="AJ78">
            <v>236</v>
          </cell>
          <cell r="AK78">
            <v>82</v>
          </cell>
          <cell r="AM78">
            <v>268</v>
          </cell>
          <cell r="AN78">
            <v>68</v>
          </cell>
          <cell r="AQ78">
            <v>95</v>
          </cell>
          <cell r="AR78">
            <v>22</v>
          </cell>
        </row>
        <row r="79">
          <cell r="A79" t="str">
            <v>BB63_1</v>
          </cell>
          <cell r="G79">
            <v>167.2</v>
          </cell>
          <cell r="H79">
            <v>0.128</v>
          </cell>
          <cell r="M79">
            <v>1.0248999999999999</v>
          </cell>
          <cell r="N79">
            <v>0.99129999999999996</v>
          </cell>
          <cell r="O79">
            <v>0.98380000000000001</v>
          </cell>
          <cell r="S79">
            <v>1.385</v>
          </cell>
          <cell r="T79">
            <v>0.97499999999999998</v>
          </cell>
          <cell r="U79">
            <v>-0.63</v>
          </cell>
          <cell r="V79">
            <v>-0.63600000000000001</v>
          </cell>
          <cell r="AD79">
            <v>204</v>
          </cell>
          <cell r="AE79">
            <v>22</v>
          </cell>
          <cell r="AG79">
            <v>319</v>
          </cell>
          <cell r="AH79">
            <v>46</v>
          </cell>
          <cell r="AJ79">
            <v>97</v>
          </cell>
          <cell r="AK79">
            <v>35</v>
          </cell>
          <cell r="AM79">
            <v>107</v>
          </cell>
          <cell r="AN79">
            <v>58</v>
          </cell>
          <cell r="AQ79">
            <v>325</v>
          </cell>
          <cell r="AR79">
            <v>26</v>
          </cell>
        </row>
        <row r="80">
          <cell r="A80" t="str">
            <v>BB63_2</v>
          </cell>
          <cell r="G80">
            <v>189.1</v>
          </cell>
          <cell r="H80">
            <v>0.222</v>
          </cell>
          <cell r="M80">
            <v>1.0264</v>
          </cell>
          <cell r="N80">
            <v>0.98770000000000002</v>
          </cell>
          <cell r="O80">
            <v>0.98580000000000001</v>
          </cell>
          <cell r="S80">
            <v>1.82</v>
          </cell>
          <cell r="T80">
            <v>0.96399999999999997</v>
          </cell>
          <cell r="U80">
            <v>-0.90400000000000003</v>
          </cell>
          <cell r="V80">
            <v>-0.90600000000000003</v>
          </cell>
          <cell r="AD80">
            <v>208</v>
          </cell>
          <cell r="AE80">
            <v>13</v>
          </cell>
          <cell r="AG80">
            <v>104</v>
          </cell>
          <cell r="AH80">
            <v>45</v>
          </cell>
          <cell r="AJ80">
            <v>310</v>
          </cell>
          <cell r="AK80">
            <v>42</v>
          </cell>
          <cell r="AM80">
            <v>105</v>
          </cell>
          <cell r="AN80">
            <v>68</v>
          </cell>
          <cell r="AQ80">
            <v>221</v>
          </cell>
          <cell r="AR80">
            <v>10</v>
          </cell>
        </row>
        <row r="81">
          <cell r="A81" t="str">
            <v>BB63_3</v>
          </cell>
          <cell r="G81">
            <v>140.9</v>
          </cell>
          <cell r="H81">
            <v>0.16800000000000001</v>
          </cell>
          <cell r="M81">
            <v>1.024</v>
          </cell>
          <cell r="N81">
            <v>0.99319999999999997</v>
          </cell>
          <cell r="O81">
            <v>0.98280000000000001</v>
          </cell>
          <cell r="S81">
            <v>1.198</v>
          </cell>
          <cell r="T81">
            <v>0.98</v>
          </cell>
          <cell r="U81">
            <v>-0.49099999999999999</v>
          </cell>
          <cell r="V81">
            <v>-0.499</v>
          </cell>
          <cell r="AD81">
            <v>218</v>
          </cell>
          <cell r="AE81">
            <v>19</v>
          </cell>
          <cell r="AG81">
            <v>324</v>
          </cell>
          <cell r="AH81">
            <v>38</v>
          </cell>
          <cell r="AJ81">
            <v>107</v>
          </cell>
          <cell r="AK81">
            <v>46</v>
          </cell>
          <cell r="AM81">
            <v>81</v>
          </cell>
          <cell r="AN81">
            <v>62</v>
          </cell>
          <cell r="AQ81">
            <v>314</v>
          </cell>
          <cell r="AR81">
            <v>17</v>
          </cell>
        </row>
        <row r="82">
          <cell r="A82" t="str">
            <v>BB64_1</v>
          </cell>
          <cell r="G82">
            <v>149</v>
          </cell>
          <cell r="H82">
            <v>0.16</v>
          </cell>
          <cell r="M82">
            <v>1.0244</v>
          </cell>
          <cell r="N82">
            <v>0.99260000000000004</v>
          </cell>
          <cell r="O82">
            <v>0.98299999999999998</v>
          </cell>
          <cell r="S82">
            <v>1.248</v>
          </cell>
          <cell r="T82">
            <v>0.97799999999999998</v>
          </cell>
          <cell r="U82">
            <v>-0.52900000000000003</v>
          </cell>
          <cell r="V82">
            <v>-0.53700000000000003</v>
          </cell>
          <cell r="AD82">
            <v>161</v>
          </cell>
          <cell r="AE82">
            <v>82</v>
          </cell>
          <cell r="AG82">
            <v>352</v>
          </cell>
          <cell r="AH82">
            <v>8</v>
          </cell>
          <cell r="AJ82">
            <v>262</v>
          </cell>
          <cell r="AK82">
            <v>2</v>
          </cell>
          <cell r="AM82">
            <v>105</v>
          </cell>
          <cell r="AN82">
            <v>73</v>
          </cell>
          <cell r="AQ82">
            <v>342</v>
          </cell>
          <cell r="AR82">
            <v>9</v>
          </cell>
        </row>
        <row r="83">
          <cell r="A83" t="str">
            <v>BB64_2</v>
          </cell>
          <cell r="G83">
            <v>167.2</v>
          </cell>
          <cell r="H83">
            <v>0.14599999999999999</v>
          </cell>
          <cell r="M83">
            <v>1.0244</v>
          </cell>
          <cell r="N83">
            <v>0.99299999999999999</v>
          </cell>
          <cell r="O83">
            <v>0.98260000000000003</v>
          </cell>
          <cell r="S83">
            <v>1.206</v>
          </cell>
          <cell r="T83">
            <v>0.97899999999999998</v>
          </cell>
          <cell r="U83">
            <v>-0.497</v>
          </cell>
          <cell r="V83">
            <v>-0.505</v>
          </cell>
          <cell r="AD83">
            <v>147</v>
          </cell>
          <cell r="AE83">
            <v>78</v>
          </cell>
          <cell r="AG83">
            <v>342</v>
          </cell>
          <cell r="AH83">
            <v>12</v>
          </cell>
          <cell r="AJ83">
            <v>252</v>
          </cell>
          <cell r="AK83">
            <v>3</v>
          </cell>
          <cell r="AM83">
            <v>122</v>
          </cell>
          <cell r="AN83">
            <v>73</v>
          </cell>
          <cell r="AQ83">
            <v>332</v>
          </cell>
          <cell r="AR83">
            <v>14</v>
          </cell>
        </row>
        <row r="84">
          <cell r="A84" t="str">
            <v>BB64_3</v>
          </cell>
          <cell r="G84">
            <v>153.80000000000001</v>
          </cell>
          <cell r="H84">
            <v>0.128</v>
          </cell>
          <cell r="M84">
            <v>1.0216000000000001</v>
          </cell>
          <cell r="N84">
            <v>1.0021</v>
          </cell>
          <cell r="O84">
            <v>0.97629999999999995</v>
          </cell>
          <cell r="S84">
            <v>0.54700000000000004</v>
          </cell>
          <cell r="T84">
            <v>1.0069999999999999</v>
          </cell>
          <cell r="U84">
            <v>0.152</v>
          </cell>
          <cell r="V84">
            <v>0.14099999999999999</v>
          </cell>
          <cell r="AD84">
            <v>74</v>
          </cell>
          <cell r="AE84">
            <v>83</v>
          </cell>
          <cell r="AG84">
            <v>336</v>
          </cell>
          <cell r="AH84">
            <v>1</v>
          </cell>
          <cell r="AJ84">
            <v>246</v>
          </cell>
          <cell r="AK84">
            <v>7</v>
          </cell>
          <cell r="AM84">
            <v>103</v>
          </cell>
          <cell r="AN84">
            <v>63</v>
          </cell>
          <cell r="AQ84">
            <v>328</v>
          </cell>
          <cell r="AR84">
            <v>20</v>
          </cell>
        </row>
        <row r="85">
          <cell r="A85" t="str">
            <v>BB4_2</v>
          </cell>
          <cell r="G85">
            <v>523.4</v>
          </cell>
          <cell r="H85">
            <v>0.115</v>
          </cell>
          <cell r="M85">
            <v>1.0371999999999999</v>
          </cell>
          <cell r="N85">
            <v>0.99450000000000005</v>
          </cell>
          <cell r="O85">
            <v>0.96830000000000005</v>
          </cell>
          <cell r="S85">
            <v>0.89700000000000002</v>
          </cell>
          <cell r="T85">
            <v>0.98499999999999999</v>
          </cell>
          <cell r="U85">
            <v>-0.222</v>
          </cell>
          <cell r="V85">
            <v>-0.23899999999999999</v>
          </cell>
          <cell r="AD85">
            <v>125</v>
          </cell>
          <cell r="AE85">
            <v>52</v>
          </cell>
          <cell r="AG85">
            <v>7</v>
          </cell>
          <cell r="AH85">
            <v>20</v>
          </cell>
          <cell r="AJ85">
            <v>265</v>
          </cell>
          <cell r="AK85">
            <v>31</v>
          </cell>
          <cell r="AM85">
            <v>71</v>
          </cell>
          <cell r="AN85">
            <v>40</v>
          </cell>
          <cell r="AQ85">
            <v>198</v>
          </cell>
          <cell r="AR85">
            <v>35</v>
          </cell>
        </row>
        <row r="86">
          <cell r="A86" t="str">
            <v>BB4_3</v>
          </cell>
          <cell r="G86">
            <v>521.4</v>
          </cell>
          <cell r="H86">
            <v>0.14399999999999999</v>
          </cell>
          <cell r="M86">
            <v>1.0409999999999999</v>
          </cell>
          <cell r="N86">
            <v>0.99029999999999996</v>
          </cell>
          <cell r="O86">
            <v>0.96860000000000002</v>
          </cell>
          <cell r="S86">
            <v>1.079</v>
          </cell>
          <cell r="T86">
            <v>0.97299999999999998</v>
          </cell>
          <cell r="U86">
            <v>-0.38600000000000001</v>
          </cell>
          <cell r="V86">
            <v>-0.40200000000000002</v>
          </cell>
          <cell r="AD86">
            <v>121</v>
          </cell>
          <cell r="AE86">
            <v>51</v>
          </cell>
          <cell r="AG86">
            <v>17</v>
          </cell>
          <cell r="AH86">
            <v>11</v>
          </cell>
          <cell r="AJ86">
            <v>279</v>
          </cell>
          <cell r="AK86">
            <v>36</v>
          </cell>
          <cell r="AM86">
            <v>68</v>
          </cell>
          <cell r="AN86">
            <v>40</v>
          </cell>
          <cell r="AQ86">
            <v>210</v>
          </cell>
          <cell r="AR86">
            <v>44</v>
          </cell>
        </row>
        <row r="87">
          <cell r="A87" t="str">
            <v>BB5_2</v>
          </cell>
          <cell r="G87">
            <v>155.6</v>
          </cell>
          <cell r="H87">
            <v>0.22600000000000001</v>
          </cell>
          <cell r="M87">
            <v>1.0294000000000001</v>
          </cell>
          <cell r="N87">
            <v>0.99</v>
          </cell>
          <cell r="O87">
            <v>0.98060000000000003</v>
          </cell>
          <cell r="S87">
            <v>1.353</v>
          </cell>
          <cell r="T87">
            <v>0.97099999999999997</v>
          </cell>
          <cell r="U87">
            <v>-0.60599999999999998</v>
          </cell>
          <cell r="V87">
            <v>-0.61399999999999999</v>
          </cell>
          <cell r="AD87">
            <v>58</v>
          </cell>
          <cell r="AE87">
            <v>3</v>
          </cell>
          <cell r="AG87">
            <v>323</v>
          </cell>
          <cell r="AH87">
            <v>62</v>
          </cell>
          <cell r="AJ87">
            <v>149</v>
          </cell>
          <cell r="AK87">
            <v>28</v>
          </cell>
          <cell r="AM87">
            <v>357</v>
          </cell>
          <cell r="AN87">
            <v>0</v>
          </cell>
          <cell r="AQ87">
            <v>226</v>
          </cell>
          <cell r="AR87">
            <v>89</v>
          </cell>
        </row>
        <row r="88">
          <cell r="A88" t="str">
            <v>BB5_3</v>
          </cell>
          <cell r="G88">
            <v>144.9</v>
          </cell>
          <cell r="H88">
            <v>0.20399999999999999</v>
          </cell>
          <cell r="M88">
            <v>1.0288999999999999</v>
          </cell>
          <cell r="N88">
            <v>0.98909999999999998</v>
          </cell>
          <cell r="O88">
            <v>0.98209999999999997</v>
          </cell>
          <cell r="S88">
            <v>1.48</v>
          </cell>
          <cell r="T88">
            <v>0.96799999999999997</v>
          </cell>
          <cell r="U88">
            <v>-0.69499999999999995</v>
          </cell>
          <cell r="V88">
            <v>-0.70099999999999996</v>
          </cell>
          <cell r="AD88">
            <v>242</v>
          </cell>
          <cell r="AE88">
            <v>2</v>
          </cell>
          <cell r="AG88">
            <v>334</v>
          </cell>
          <cell r="AH88">
            <v>44</v>
          </cell>
          <cell r="AJ88">
            <v>150</v>
          </cell>
          <cell r="AK88">
            <v>46</v>
          </cell>
          <cell r="AM88">
            <v>183</v>
          </cell>
          <cell r="AN88">
            <v>1</v>
          </cell>
          <cell r="AQ88">
            <v>89</v>
          </cell>
          <cell r="AR88">
            <v>72</v>
          </cell>
        </row>
        <row r="89">
          <cell r="A89" t="str">
            <v>BB7_2</v>
          </cell>
          <cell r="G89">
            <v>367.8</v>
          </cell>
          <cell r="H89">
            <v>0.09</v>
          </cell>
          <cell r="M89">
            <v>1.0162</v>
          </cell>
          <cell r="N89">
            <v>1.0126999999999999</v>
          </cell>
          <cell r="O89">
            <v>0.97109999999999996</v>
          </cell>
          <cell r="S89">
            <v>8.1000000000000003E-2</v>
          </cell>
          <cell r="T89">
            <v>1.0389999999999999</v>
          </cell>
          <cell r="U89">
            <v>0.84699999999999998</v>
          </cell>
          <cell r="V89">
            <v>0.84399999999999997</v>
          </cell>
          <cell r="AD89">
            <v>231</v>
          </cell>
          <cell r="AE89">
            <v>4</v>
          </cell>
          <cell r="AG89">
            <v>322</v>
          </cell>
          <cell r="AH89">
            <v>26</v>
          </cell>
          <cell r="AJ89">
            <v>133</v>
          </cell>
          <cell r="AK89">
            <v>64</v>
          </cell>
          <cell r="AM89">
            <v>252</v>
          </cell>
          <cell r="AN89">
            <v>50</v>
          </cell>
          <cell r="AQ89">
            <v>57</v>
          </cell>
          <cell r="AR89">
            <v>39</v>
          </cell>
        </row>
        <row r="90">
          <cell r="A90" t="str">
            <v>BB7_3</v>
          </cell>
          <cell r="G90">
            <v>339.9</v>
          </cell>
          <cell r="H90">
            <v>3.6999999999999998E-2</v>
          </cell>
          <cell r="M90">
            <v>1.0196000000000001</v>
          </cell>
          <cell r="N90">
            <v>1.0148999999999999</v>
          </cell>
          <cell r="O90">
            <v>0.96550000000000002</v>
          </cell>
          <cell r="S90">
            <v>0.09</v>
          </cell>
          <cell r="T90">
            <v>1.046</v>
          </cell>
          <cell r="U90">
            <v>0.83199999999999996</v>
          </cell>
          <cell r="V90">
            <v>0.82799999999999996</v>
          </cell>
          <cell r="AD90">
            <v>231</v>
          </cell>
          <cell r="AE90">
            <v>5</v>
          </cell>
          <cell r="AG90">
            <v>324</v>
          </cell>
          <cell r="AH90">
            <v>24</v>
          </cell>
          <cell r="AJ90">
            <v>129</v>
          </cell>
          <cell r="AK90">
            <v>66</v>
          </cell>
          <cell r="AM90">
            <v>253</v>
          </cell>
          <cell r="AN90">
            <v>48</v>
          </cell>
          <cell r="AQ90">
            <v>60</v>
          </cell>
          <cell r="AR90">
            <v>41</v>
          </cell>
        </row>
        <row r="91">
          <cell r="A91" t="str">
            <v>BB8_2</v>
          </cell>
          <cell r="G91">
            <v>406.4</v>
          </cell>
          <cell r="H91">
            <v>9.4E-2</v>
          </cell>
          <cell r="M91">
            <v>1.0302</v>
          </cell>
          <cell r="N91">
            <v>0.99250000000000005</v>
          </cell>
          <cell r="O91">
            <v>0.97719999999999996</v>
          </cell>
          <cell r="S91">
            <v>1.1040000000000001</v>
          </cell>
          <cell r="T91">
            <v>0.97799999999999998</v>
          </cell>
          <cell r="U91">
            <v>-0.41199999999999998</v>
          </cell>
          <cell r="V91">
            <v>-0.42299999999999999</v>
          </cell>
          <cell r="AD91">
            <v>256</v>
          </cell>
          <cell r="AE91">
            <v>0</v>
          </cell>
          <cell r="AG91">
            <v>166</v>
          </cell>
          <cell r="AH91">
            <v>14</v>
          </cell>
          <cell r="AJ91">
            <v>347</v>
          </cell>
          <cell r="AK91">
            <v>76</v>
          </cell>
          <cell r="AM91">
            <v>326</v>
          </cell>
          <cell r="AN91">
            <v>57</v>
          </cell>
          <cell r="AQ91">
            <v>104</v>
          </cell>
          <cell r="AR91">
            <v>26</v>
          </cell>
        </row>
        <row r="92">
          <cell r="A92" t="str">
            <v>BB8_3</v>
          </cell>
          <cell r="G92">
            <v>420</v>
          </cell>
          <cell r="H92">
            <v>0.03</v>
          </cell>
          <cell r="M92">
            <v>1.0347999999999999</v>
          </cell>
          <cell r="N92">
            <v>0.9899</v>
          </cell>
          <cell r="O92">
            <v>0.97519999999999996</v>
          </cell>
          <cell r="S92">
            <v>1.21</v>
          </cell>
          <cell r="T92">
            <v>0.97099999999999997</v>
          </cell>
          <cell r="U92">
            <v>-0.496</v>
          </cell>
          <cell r="V92">
            <v>-0.50700000000000001</v>
          </cell>
          <cell r="AD92">
            <v>20</v>
          </cell>
          <cell r="AE92">
            <v>1</v>
          </cell>
          <cell r="AG92">
            <v>110</v>
          </cell>
          <cell r="AH92">
            <v>3</v>
          </cell>
          <cell r="AJ92">
            <v>274</v>
          </cell>
          <cell r="AK92">
            <v>87</v>
          </cell>
          <cell r="AM92">
            <v>210</v>
          </cell>
          <cell r="AN92">
            <v>55</v>
          </cell>
          <cell r="AQ92">
            <v>92</v>
          </cell>
          <cell r="AR92">
            <v>18</v>
          </cell>
        </row>
        <row r="93">
          <cell r="A93" t="str">
            <v>BB9_2</v>
          </cell>
          <cell r="G93">
            <v>189.1</v>
          </cell>
          <cell r="H93">
            <v>0.13300000000000001</v>
          </cell>
          <cell r="M93">
            <v>1.0346</v>
          </cell>
          <cell r="N93">
            <v>0.99709999999999999</v>
          </cell>
          <cell r="O93">
            <v>0.96830000000000005</v>
          </cell>
          <cell r="S93">
            <v>0.78800000000000003</v>
          </cell>
          <cell r="T93">
            <v>0.99199999999999999</v>
          </cell>
          <cell r="U93">
            <v>-0.115</v>
          </cell>
          <cell r="V93">
            <v>-0.13100000000000001</v>
          </cell>
          <cell r="AD93">
            <v>152</v>
          </cell>
          <cell r="AE93">
            <v>5</v>
          </cell>
          <cell r="AG93">
            <v>248</v>
          </cell>
          <cell r="AH93">
            <v>49</v>
          </cell>
          <cell r="AJ93">
            <v>58</v>
          </cell>
          <cell r="AK93">
            <v>41</v>
          </cell>
          <cell r="AM93">
            <v>235</v>
          </cell>
          <cell r="AN93">
            <v>26</v>
          </cell>
          <cell r="AQ93">
            <v>133</v>
          </cell>
          <cell r="AR93">
            <v>25</v>
          </cell>
        </row>
        <row r="94">
          <cell r="A94" t="str">
            <v>BB9_3</v>
          </cell>
          <cell r="G94">
            <v>181.8</v>
          </cell>
          <cell r="H94">
            <v>0.126</v>
          </cell>
          <cell r="M94">
            <v>1.0241</v>
          </cell>
          <cell r="N94">
            <v>0.98919999999999997</v>
          </cell>
          <cell r="O94">
            <v>0.98660000000000003</v>
          </cell>
          <cell r="S94">
            <v>1.738</v>
          </cell>
          <cell r="T94">
            <v>0.96899999999999997</v>
          </cell>
          <cell r="U94">
            <v>-0.85699999999999998</v>
          </cell>
          <cell r="V94">
            <v>-0.86</v>
          </cell>
          <cell r="AD94">
            <v>187</v>
          </cell>
          <cell r="AE94">
            <v>15</v>
          </cell>
          <cell r="AG94">
            <v>87</v>
          </cell>
          <cell r="AH94">
            <v>32</v>
          </cell>
          <cell r="AJ94">
            <v>298</v>
          </cell>
          <cell r="AK94">
            <v>54</v>
          </cell>
          <cell r="AM94">
            <v>274</v>
          </cell>
          <cell r="AN94">
            <v>39</v>
          </cell>
          <cell r="AQ94">
            <v>46</v>
          </cell>
          <cell r="AR94">
            <v>39</v>
          </cell>
        </row>
        <row r="95">
          <cell r="A95" t="str">
            <v>BB9_4</v>
          </cell>
          <cell r="G95">
            <v>171.4</v>
          </cell>
          <cell r="H95">
            <v>0.13300000000000001</v>
          </cell>
          <cell r="M95">
            <v>1.0232000000000001</v>
          </cell>
          <cell r="N95">
            <v>0.98880000000000001</v>
          </cell>
          <cell r="O95">
            <v>0.98799999999999999</v>
          </cell>
          <cell r="S95">
            <v>1.9139999999999999</v>
          </cell>
          <cell r="T95">
            <v>0.96699999999999997</v>
          </cell>
          <cell r="U95">
            <v>-0.95499999999999996</v>
          </cell>
          <cell r="V95">
            <v>-0.95599999999999996</v>
          </cell>
          <cell r="AD95">
            <v>188</v>
          </cell>
          <cell r="AE95">
            <v>13</v>
          </cell>
          <cell r="AG95">
            <v>95</v>
          </cell>
          <cell r="AH95">
            <v>17</v>
          </cell>
          <cell r="AJ95">
            <v>314</v>
          </cell>
          <cell r="AK95">
            <v>69</v>
          </cell>
          <cell r="AM95">
            <v>276</v>
          </cell>
          <cell r="AN95">
            <v>36</v>
          </cell>
          <cell r="AQ95">
            <v>65</v>
          </cell>
          <cell r="AR95">
            <v>49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OJCZA"/>
      <sheetName val="BARDO"/>
      <sheetName val="Mójcza"/>
      <sheetName val="Bardo-Stawy"/>
    </sheetNames>
    <sheetDataSet>
      <sheetData sheetId="0" refreshError="1"/>
      <sheetData sheetId="1" refreshError="1"/>
      <sheetData sheetId="2" refreshError="1"/>
      <sheetData sheetId="3" refreshError="1">
        <row r="3">
          <cell r="C3">
            <v>302</v>
          </cell>
        </row>
        <row r="4">
          <cell r="C4">
            <v>494</v>
          </cell>
        </row>
        <row r="5">
          <cell r="C5">
            <v>659</v>
          </cell>
        </row>
        <row r="6">
          <cell r="C6">
            <v>290</v>
          </cell>
        </row>
        <row r="7">
          <cell r="C7">
            <v>343</v>
          </cell>
        </row>
        <row r="8">
          <cell r="C8">
            <v>354</v>
          </cell>
        </row>
        <row r="9">
          <cell r="C9">
            <v>112</v>
          </cell>
        </row>
        <row r="10">
          <cell r="C10">
            <v>275</v>
          </cell>
        </row>
        <row r="11">
          <cell r="C11">
            <v>330</v>
          </cell>
        </row>
        <row r="12">
          <cell r="C12">
            <v>200</v>
          </cell>
        </row>
        <row r="13">
          <cell r="C13">
            <v>175</v>
          </cell>
        </row>
        <row r="14">
          <cell r="C14">
            <v>88</v>
          </cell>
        </row>
        <row r="15">
          <cell r="C15">
            <v>267</v>
          </cell>
        </row>
        <row r="16">
          <cell r="C16">
            <v>197</v>
          </cell>
        </row>
        <row r="17">
          <cell r="C17">
            <v>40</v>
          </cell>
        </row>
        <row r="18">
          <cell r="C18">
            <v>546</v>
          </cell>
        </row>
        <row r="19">
          <cell r="C19">
            <v>123</v>
          </cell>
        </row>
        <row r="20">
          <cell r="C20">
            <v>149</v>
          </cell>
        </row>
        <row r="21">
          <cell r="C21">
            <v>161</v>
          </cell>
        </row>
        <row r="22">
          <cell r="C22">
            <v>175</v>
          </cell>
        </row>
        <row r="23">
          <cell r="C23">
            <v>180</v>
          </cell>
        </row>
        <row r="24">
          <cell r="C24">
            <v>166</v>
          </cell>
        </row>
        <row r="25">
          <cell r="C25">
            <v>90</v>
          </cell>
        </row>
        <row r="26">
          <cell r="C26">
            <v>302</v>
          </cell>
        </row>
        <row r="27">
          <cell r="C27">
            <v>269</v>
          </cell>
        </row>
        <row r="28">
          <cell r="C28">
            <v>223</v>
          </cell>
        </row>
        <row r="29">
          <cell r="C29">
            <v>297</v>
          </cell>
        </row>
        <row r="30">
          <cell r="C30">
            <v>146</v>
          </cell>
        </row>
        <row r="31">
          <cell r="C31">
            <v>294</v>
          </cell>
        </row>
        <row r="32">
          <cell r="C32">
            <v>214</v>
          </cell>
        </row>
        <row r="33">
          <cell r="C33">
            <v>168</v>
          </cell>
        </row>
        <row r="34">
          <cell r="C34">
            <v>173</v>
          </cell>
        </row>
        <row r="35">
          <cell r="C35">
            <v>393</v>
          </cell>
        </row>
        <row r="36">
          <cell r="C36">
            <v>134</v>
          </cell>
        </row>
        <row r="37">
          <cell r="C37">
            <v>364</v>
          </cell>
        </row>
        <row r="38">
          <cell r="C38">
            <v>204</v>
          </cell>
        </row>
        <row r="39">
          <cell r="C39">
            <v>764</v>
          </cell>
        </row>
        <row r="40">
          <cell r="C40">
            <v>443</v>
          </cell>
        </row>
        <row r="41">
          <cell r="C41">
            <v>215</v>
          </cell>
        </row>
        <row r="42">
          <cell r="C42">
            <v>126</v>
          </cell>
        </row>
        <row r="43">
          <cell r="C43">
            <v>220</v>
          </cell>
        </row>
        <row r="44">
          <cell r="C44">
            <v>423</v>
          </cell>
        </row>
        <row r="45">
          <cell r="C45">
            <v>308</v>
          </cell>
        </row>
        <row r="46">
          <cell r="C46">
            <v>254</v>
          </cell>
        </row>
        <row r="47">
          <cell r="C47">
            <v>236</v>
          </cell>
        </row>
        <row r="48">
          <cell r="C48">
            <v>338</v>
          </cell>
        </row>
        <row r="49">
          <cell r="C49">
            <v>378</v>
          </cell>
        </row>
        <row r="50">
          <cell r="C50">
            <v>235</v>
          </cell>
        </row>
        <row r="51">
          <cell r="C51">
            <v>310</v>
          </cell>
        </row>
        <row r="52">
          <cell r="C52">
            <v>338</v>
          </cell>
        </row>
        <row r="53">
          <cell r="C53">
            <v>260</v>
          </cell>
        </row>
        <row r="54">
          <cell r="C54">
            <v>343</v>
          </cell>
        </row>
        <row r="55">
          <cell r="C55">
            <v>301</v>
          </cell>
        </row>
        <row r="56">
          <cell r="C56">
            <v>262</v>
          </cell>
        </row>
        <row r="57">
          <cell r="C57">
            <v>279</v>
          </cell>
        </row>
        <row r="58">
          <cell r="C58">
            <v>311</v>
          </cell>
        </row>
        <row r="59">
          <cell r="C59">
            <v>183</v>
          </cell>
        </row>
        <row r="60">
          <cell r="C60">
            <v>320</v>
          </cell>
        </row>
        <row r="61">
          <cell r="C61">
            <v>370</v>
          </cell>
        </row>
        <row r="62">
          <cell r="C62">
            <v>130</v>
          </cell>
        </row>
        <row r="63">
          <cell r="C63">
            <v>242</v>
          </cell>
        </row>
        <row r="64">
          <cell r="C64">
            <v>222</v>
          </cell>
        </row>
        <row r="65">
          <cell r="C65">
            <v>434</v>
          </cell>
        </row>
        <row r="66">
          <cell r="C66">
            <v>288</v>
          </cell>
        </row>
        <row r="67">
          <cell r="C67">
            <v>422</v>
          </cell>
        </row>
        <row r="68">
          <cell r="C68">
            <v>318</v>
          </cell>
        </row>
        <row r="69">
          <cell r="C69">
            <v>354</v>
          </cell>
        </row>
        <row r="70">
          <cell r="C70">
            <v>350</v>
          </cell>
        </row>
        <row r="71">
          <cell r="C71">
            <v>231</v>
          </cell>
        </row>
        <row r="72">
          <cell r="C72">
            <v>349</v>
          </cell>
        </row>
        <row r="73">
          <cell r="C73">
            <v>499</v>
          </cell>
        </row>
        <row r="74">
          <cell r="C74">
            <v>275</v>
          </cell>
        </row>
        <row r="75">
          <cell r="C75">
            <v>247</v>
          </cell>
        </row>
        <row r="76">
          <cell r="C76">
            <v>210</v>
          </cell>
        </row>
        <row r="77">
          <cell r="C77">
            <v>179</v>
          </cell>
        </row>
        <row r="78">
          <cell r="C78">
            <v>286</v>
          </cell>
        </row>
        <row r="79">
          <cell r="C79">
            <v>296</v>
          </cell>
        </row>
        <row r="80">
          <cell r="C80">
            <v>319</v>
          </cell>
        </row>
        <row r="81">
          <cell r="C81">
            <v>227</v>
          </cell>
        </row>
        <row r="82">
          <cell r="C82">
            <v>427</v>
          </cell>
        </row>
        <row r="83">
          <cell r="C83">
            <v>468</v>
          </cell>
        </row>
        <row r="84">
          <cell r="C84">
            <v>354</v>
          </cell>
        </row>
        <row r="85">
          <cell r="C85">
            <v>254</v>
          </cell>
        </row>
        <row r="86">
          <cell r="C86">
            <v>190</v>
          </cell>
        </row>
        <row r="87">
          <cell r="C87">
            <v>467</v>
          </cell>
        </row>
        <row r="88">
          <cell r="C88">
            <v>294</v>
          </cell>
        </row>
        <row r="89">
          <cell r="C89">
            <v>358</v>
          </cell>
        </row>
        <row r="90">
          <cell r="C90">
            <v>391</v>
          </cell>
        </row>
        <row r="91">
          <cell r="C91">
            <v>560</v>
          </cell>
        </row>
        <row r="92">
          <cell r="C92">
            <v>389</v>
          </cell>
        </row>
        <row r="93">
          <cell r="C93">
            <v>242</v>
          </cell>
        </row>
        <row r="94">
          <cell r="C94">
            <v>617</v>
          </cell>
        </row>
        <row r="95">
          <cell r="C95">
            <v>401</v>
          </cell>
        </row>
        <row r="96">
          <cell r="C96">
            <v>400</v>
          </cell>
        </row>
        <row r="97">
          <cell r="C97">
            <v>349</v>
          </cell>
        </row>
        <row r="98">
          <cell r="C98">
            <v>483</v>
          </cell>
        </row>
        <row r="99">
          <cell r="C99">
            <v>478</v>
          </cell>
        </row>
        <row r="100">
          <cell r="C100">
            <v>509</v>
          </cell>
        </row>
        <row r="101">
          <cell r="C101">
            <v>244</v>
          </cell>
        </row>
        <row r="102">
          <cell r="C102">
            <v>288</v>
          </cell>
        </row>
        <row r="103">
          <cell r="C103">
            <v>275</v>
          </cell>
        </row>
        <row r="104">
          <cell r="C104">
            <v>331</v>
          </cell>
        </row>
        <row r="105">
          <cell r="C105">
            <v>390</v>
          </cell>
        </row>
        <row r="106">
          <cell r="C106">
            <v>484</v>
          </cell>
        </row>
        <row r="107">
          <cell r="C107">
            <v>340</v>
          </cell>
        </row>
        <row r="108">
          <cell r="C108">
            <v>245</v>
          </cell>
        </row>
        <row r="109">
          <cell r="C109">
            <v>389</v>
          </cell>
        </row>
        <row r="110">
          <cell r="C110">
            <v>581</v>
          </cell>
        </row>
        <row r="111">
          <cell r="C111">
            <v>228</v>
          </cell>
        </row>
        <row r="112">
          <cell r="C112">
            <v>409</v>
          </cell>
        </row>
        <row r="113">
          <cell r="C113">
            <v>587</v>
          </cell>
        </row>
        <row r="114">
          <cell r="C114">
            <v>613</v>
          </cell>
        </row>
        <row r="115">
          <cell r="C115">
            <v>390</v>
          </cell>
        </row>
        <row r="116">
          <cell r="C116">
            <v>435</v>
          </cell>
        </row>
        <row r="117">
          <cell r="C117">
            <v>175</v>
          </cell>
        </row>
        <row r="118">
          <cell r="C118">
            <v>289</v>
          </cell>
        </row>
        <row r="119">
          <cell r="C119">
            <v>489</v>
          </cell>
        </row>
        <row r="120">
          <cell r="C120">
            <v>485</v>
          </cell>
        </row>
        <row r="121">
          <cell r="C121">
            <v>574</v>
          </cell>
        </row>
        <row r="122">
          <cell r="C122">
            <v>477</v>
          </cell>
        </row>
        <row r="123">
          <cell r="C123">
            <v>438</v>
          </cell>
        </row>
        <row r="124">
          <cell r="C124">
            <v>310</v>
          </cell>
        </row>
        <row r="125">
          <cell r="C125">
            <v>424</v>
          </cell>
        </row>
        <row r="126">
          <cell r="C126">
            <v>250</v>
          </cell>
        </row>
        <row r="127">
          <cell r="C127">
            <v>387</v>
          </cell>
        </row>
        <row r="128">
          <cell r="C128">
            <v>223</v>
          </cell>
        </row>
        <row r="129">
          <cell r="C129">
            <v>184</v>
          </cell>
        </row>
        <row r="130">
          <cell r="C130">
            <v>158</v>
          </cell>
        </row>
        <row r="131">
          <cell r="C131">
            <v>267</v>
          </cell>
        </row>
        <row r="132">
          <cell r="C132">
            <v>29</v>
          </cell>
        </row>
        <row r="133">
          <cell r="C133">
            <v>340</v>
          </cell>
        </row>
        <row r="134">
          <cell r="C134">
            <v>307</v>
          </cell>
        </row>
        <row r="135">
          <cell r="C135">
            <v>481</v>
          </cell>
        </row>
        <row r="136">
          <cell r="C136">
            <v>264</v>
          </cell>
        </row>
        <row r="137">
          <cell r="C137">
            <v>231</v>
          </cell>
        </row>
        <row r="138">
          <cell r="C138">
            <v>312</v>
          </cell>
        </row>
        <row r="139">
          <cell r="C139">
            <v>249</v>
          </cell>
        </row>
        <row r="140">
          <cell r="C140">
            <v>459</v>
          </cell>
        </row>
        <row r="141">
          <cell r="C141">
            <v>355</v>
          </cell>
        </row>
        <row r="142">
          <cell r="C142">
            <v>312</v>
          </cell>
        </row>
        <row r="143">
          <cell r="C143">
            <v>331</v>
          </cell>
        </row>
        <row r="144">
          <cell r="C144">
            <v>209</v>
          </cell>
        </row>
        <row r="145">
          <cell r="C145">
            <v>285</v>
          </cell>
        </row>
        <row r="146">
          <cell r="C146">
            <v>226</v>
          </cell>
        </row>
        <row r="147">
          <cell r="C147">
            <v>200</v>
          </cell>
        </row>
        <row r="148">
          <cell r="C148">
            <v>373</v>
          </cell>
        </row>
        <row r="149">
          <cell r="C149">
            <v>496</v>
          </cell>
        </row>
        <row r="150">
          <cell r="C150">
            <v>143</v>
          </cell>
        </row>
        <row r="151">
          <cell r="C151">
            <v>274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460-@" TargetMode="External"/><Relationship Id="rId117" Type="http://schemas.openxmlformats.org/officeDocument/2006/relationships/comments" Target="../comments1.xml"/><Relationship Id="rId21" Type="http://schemas.openxmlformats.org/officeDocument/2006/relationships/hyperlink" Target="mailto:550-@" TargetMode="External"/><Relationship Id="rId42" Type="http://schemas.openxmlformats.org/officeDocument/2006/relationships/hyperlink" Target="mailto:200-@" TargetMode="External"/><Relationship Id="rId47" Type="http://schemas.openxmlformats.org/officeDocument/2006/relationships/hyperlink" Target="mailto:470-@" TargetMode="External"/><Relationship Id="rId63" Type="http://schemas.openxmlformats.org/officeDocument/2006/relationships/hyperlink" Target="mailto:410-@" TargetMode="External"/><Relationship Id="rId68" Type="http://schemas.openxmlformats.org/officeDocument/2006/relationships/hyperlink" Target="mailto:650-@" TargetMode="External"/><Relationship Id="rId84" Type="http://schemas.openxmlformats.org/officeDocument/2006/relationships/hyperlink" Target="mailto:250-@" TargetMode="External"/><Relationship Id="rId89" Type="http://schemas.openxmlformats.org/officeDocument/2006/relationships/hyperlink" Target="mailto:450-@" TargetMode="External"/><Relationship Id="rId112" Type="http://schemas.openxmlformats.org/officeDocument/2006/relationships/hyperlink" Target="mailto:560-@" TargetMode="External"/><Relationship Id="rId16" Type="http://schemas.openxmlformats.org/officeDocument/2006/relationships/hyperlink" Target="mailto:530-@" TargetMode="External"/><Relationship Id="rId107" Type="http://schemas.openxmlformats.org/officeDocument/2006/relationships/hyperlink" Target="mailto:470-@?" TargetMode="External"/><Relationship Id="rId11" Type="http://schemas.openxmlformats.org/officeDocument/2006/relationships/hyperlink" Target="mailto:515-@" TargetMode="External"/><Relationship Id="rId24" Type="http://schemas.openxmlformats.org/officeDocument/2006/relationships/hyperlink" Target="mailto:100-@" TargetMode="External"/><Relationship Id="rId32" Type="http://schemas.openxmlformats.org/officeDocument/2006/relationships/hyperlink" Target="mailto:500-@" TargetMode="External"/><Relationship Id="rId37" Type="http://schemas.openxmlformats.org/officeDocument/2006/relationships/hyperlink" Target="mailto:350-@" TargetMode="External"/><Relationship Id="rId40" Type="http://schemas.openxmlformats.org/officeDocument/2006/relationships/hyperlink" Target="mailto:450-@" TargetMode="External"/><Relationship Id="rId45" Type="http://schemas.openxmlformats.org/officeDocument/2006/relationships/hyperlink" Target="mailto:550-@" TargetMode="External"/><Relationship Id="rId53" Type="http://schemas.openxmlformats.org/officeDocument/2006/relationships/hyperlink" Target="mailto:500-@" TargetMode="External"/><Relationship Id="rId58" Type="http://schemas.openxmlformats.org/officeDocument/2006/relationships/hyperlink" Target="mailto:300-@" TargetMode="External"/><Relationship Id="rId66" Type="http://schemas.openxmlformats.org/officeDocument/2006/relationships/hyperlink" Target="mailto:0-@" TargetMode="External"/><Relationship Id="rId74" Type="http://schemas.openxmlformats.org/officeDocument/2006/relationships/hyperlink" Target="mailto:330-@" TargetMode="External"/><Relationship Id="rId79" Type="http://schemas.openxmlformats.org/officeDocument/2006/relationships/hyperlink" Target="mailto:300-@" TargetMode="External"/><Relationship Id="rId87" Type="http://schemas.openxmlformats.org/officeDocument/2006/relationships/hyperlink" Target="mailto:460-@" TargetMode="External"/><Relationship Id="rId102" Type="http://schemas.openxmlformats.org/officeDocument/2006/relationships/hyperlink" Target="mailto:405-@" TargetMode="External"/><Relationship Id="rId110" Type="http://schemas.openxmlformats.org/officeDocument/2006/relationships/hyperlink" Target="mailto:500-@" TargetMode="External"/><Relationship Id="rId115" Type="http://schemas.openxmlformats.org/officeDocument/2006/relationships/hyperlink" Target="mailto:410-@" TargetMode="External"/><Relationship Id="rId5" Type="http://schemas.openxmlformats.org/officeDocument/2006/relationships/hyperlink" Target="mailto:300-@" TargetMode="External"/><Relationship Id="rId61" Type="http://schemas.openxmlformats.org/officeDocument/2006/relationships/hyperlink" Target="mailto:560-@" TargetMode="External"/><Relationship Id="rId82" Type="http://schemas.openxmlformats.org/officeDocument/2006/relationships/hyperlink" Target="mailto:200-@" TargetMode="External"/><Relationship Id="rId90" Type="http://schemas.openxmlformats.org/officeDocument/2006/relationships/hyperlink" Target="mailto:250-@" TargetMode="External"/><Relationship Id="rId95" Type="http://schemas.openxmlformats.org/officeDocument/2006/relationships/hyperlink" Target="mailto:400-@" TargetMode="External"/><Relationship Id="rId19" Type="http://schemas.openxmlformats.org/officeDocument/2006/relationships/hyperlink" Target="mailto:475-@" TargetMode="External"/><Relationship Id="rId14" Type="http://schemas.openxmlformats.org/officeDocument/2006/relationships/hyperlink" Target="mailto:475-@" TargetMode="External"/><Relationship Id="rId22" Type="http://schemas.openxmlformats.org/officeDocument/2006/relationships/hyperlink" Target="mailto:200-@" TargetMode="External"/><Relationship Id="rId27" Type="http://schemas.openxmlformats.org/officeDocument/2006/relationships/hyperlink" Target="mailto:540-@" TargetMode="External"/><Relationship Id="rId30" Type="http://schemas.openxmlformats.org/officeDocument/2006/relationships/hyperlink" Target="mailto:420-@" TargetMode="External"/><Relationship Id="rId35" Type="http://schemas.openxmlformats.org/officeDocument/2006/relationships/hyperlink" Target="mailto:0-@" TargetMode="External"/><Relationship Id="rId43" Type="http://schemas.openxmlformats.org/officeDocument/2006/relationships/hyperlink" Target="mailto:580-@" TargetMode="External"/><Relationship Id="rId48" Type="http://schemas.openxmlformats.org/officeDocument/2006/relationships/hyperlink" Target="mailto:450-@" TargetMode="External"/><Relationship Id="rId56" Type="http://schemas.openxmlformats.org/officeDocument/2006/relationships/hyperlink" Target="mailto:550-@" TargetMode="External"/><Relationship Id="rId64" Type="http://schemas.openxmlformats.org/officeDocument/2006/relationships/hyperlink" Target="mailto:300-@" TargetMode="External"/><Relationship Id="rId69" Type="http://schemas.openxmlformats.org/officeDocument/2006/relationships/hyperlink" Target="mailto:590-@" TargetMode="External"/><Relationship Id="rId77" Type="http://schemas.openxmlformats.org/officeDocument/2006/relationships/hyperlink" Target="mailto:360-@" TargetMode="External"/><Relationship Id="rId100" Type="http://schemas.openxmlformats.org/officeDocument/2006/relationships/hyperlink" Target="mailto:440-@" TargetMode="External"/><Relationship Id="rId105" Type="http://schemas.openxmlformats.org/officeDocument/2006/relationships/hyperlink" Target="mailto:350-@" TargetMode="External"/><Relationship Id="rId113" Type="http://schemas.openxmlformats.org/officeDocument/2006/relationships/hyperlink" Target="mailto:300-@" TargetMode="External"/><Relationship Id="rId8" Type="http://schemas.openxmlformats.org/officeDocument/2006/relationships/hyperlink" Target="mailto:250-@" TargetMode="External"/><Relationship Id="rId51" Type="http://schemas.openxmlformats.org/officeDocument/2006/relationships/hyperlink" Target="mailto:590-@" TargetMode="External"/><Relationship Id="rId72" Type="http://schemas.openxmlformats.org/officeDocument/2006/relationships/hyperlink" Target="mailto:650-@" TargetMode="External"/><Relationship Id="rId80" Type="http://schemas.openxmlformats.org/officeDocument/2006/relationships/hyperlink" Target="mailto:250-@" TargetMode="External"/><Relationship Id="rId85" Type="http://schemas.openxmlformats.org/officeDocument/2006/relationships/hyperlink" Target="mailto:450-@" TargetMode="External"/><Relationship Id="rId93" Type="http://schemas.openxmlformats.org/officeDocument/2006/relationships/hyperlink" Target="mailto:460-@" TargetMode="External"/><Relationship Id="rId98" Type="http://schemas.openxmlformats.org/officeDocument/2006/relationships/hyperlink" Target="mailto:430-@" TargetMode="External"/><Relationship Id="rId3" Type="http://schemas.openxmlformats.org/officeDocument/2006/relationships/hyperlink" Target="mailto:0-@" TargetMode="External"/><Relationship Id="rId12" Type="http://schemas.openxmlformats.org/officeDocument/2006/relationships/hyperlink" Target="mailto:510-@" TargetMode="External"/><Relationship Id="rId17" Type="http://schemas.openxmlformats.org/officeDocument/2006/relationships/hyperlink" Target="mailto:575-@" TargetMode="External"/><Relationship Id="rId25" Type="http://schemas.openxmlformats.org/officeDocument/2006/relationships/hyperlink" Target="mailto:460-@" TargetMode="External"/><Relationship Id="rId33" Type="http://schemas.openxmlformats.org/officeDocument/2006/relationships/hyperlink" Target="mailto:400-@" TargetMode="External"/><Relationship Id="rId38" Type="http://schemas.openxmlformats.org/officeDocument/2006/relationships/hyperlink" Target="mailto:300-@" TargetMode="External"/><Relationship Id="rId46" Type="http://schemas.openxmlformats.org/officeDocument/2006/relationships/hyperlink" Target="mailto:400-@" TargetMode="External"/><Relationship Id="rId59" Type="http://schemas.openxmlformats.org/officeDocument/2006/relationships/hyperlink" Target="mailto:500-@" TargetMode="External"/><Relationship Id="rId67" Type="http://schemas.openxmlformats.org/officeDocument/2006/relationships/hyperlink" Target="mailto:0-@" TargetMode="External"/><Relationship Id="rId103" Type="http://schemas.openxmlformats.org/officeDocument/2006/relationships/hyperlink" Target="mailto:410-@" TargetMode="External"/><Relationship Id="rId108" Type="http://schemas.openxmlformats.org/officeDocument/2006/relationships/hyperlink" Target="mailto:400-@" TargetMode="External"/><Relationship Id="rId116" Type="http://schemas.openxmlformats.org/officeDocument/2006/relationships/vmlDrawing" Target="../drawings/vmlDrawing1.vml"/><Relationship Id="rId20" Type="http://schemas.openxmlformats.org/officeDocument/2006/relationships/hyperlink" Target="mailto:200-@" TargetMode="External"/><Relationship Id="rId41" Type="http://schemas.openxmlformats.org/officeDocument/2006/relationships/hyperlink" Target="mailto:470-@" TargetMode="External"/><Relationship Id="rId54" Type="http://schemas.openxmlformats.org/officeDocument/2006/relationships/hyperlink" Target="mailto:190-@" TargetMode="External"/><Relationship Id="rId62" Type="http://schemas.openxmlformats.org/officeDocument/2006/relationships/hyperlink" Target="mailto:410-@" TargetMode="External"/><Relationship Id="rId70" Type="http://schemas.openxmlformats.org/officeDocument/2006/relationships/hyperlink" Target="mailto:200-@" TargetMode="External"/><Relationship Id="rId75" Type="http://schemas.openxmlformats.org/officeDocument/2006/relationships/hyperlink" Target="mailto:310-@" TargetMode="External"/><Relationship Id="rId83" Type="http://schemas.openxmlformats.org/officeDocument/2006/relationships/hyperlink" Target="mailto:440-@" TargetMode="External"/><Relationship Id="rId88" Type="http://schemas.openxmlformats.org/officeDocument/2006/relationships/hyperlink" Target="mailto:200-@" TargetMode="External"/><Relationship Id="rId91" Type="http://schemas.openxmlformats.org/officeDocument/2006/relationships/hyperlink" Target="mailto:440-@" TargetMode="External"/><Relationship Id="rId96" Type="http://schemas.openxmlformats.org/officeDocument/2006/relationships/hyperlink" Target="mailto:440-@" TargetMode="External"/><Relationship Id="rId111" Type="http://schemas.openxmlformats.org/officeDocument/2006/relationships/hyperlink" Target="mailto:470-@" TargetMode="External"/><Relationship Id="rId1" Type="http://schemas.openxmlformats.org/officeDocument/2006/relationships/hyperlink" Target="mailto:200-@" TargetMode="External"/><Relationship Id="rId6" Type="http://schemas.openxmlformats.org/officeDocument/2006/relationships/hyperlink" Target="mailto:100-@" TargetMode="External"/><Relationship Id="rId15" Type="http://schemas.openxmlformats.org/officeDocument/2006/relationships/hyperlink" Target="mailto:200-@" TargetMode="External"/><Relationship Id="rId23" Type="http://schemas.openxmlformats.org/officeDocument/2006/relationships/hyperlink" Target="mailto:500-@" TargetMode="External"/><Relationship Id="rId28" Type="http://schemas.openxmlformats.org/officeDocument/2006/relationships/hyperlink" Target="mailto:510-@" TargetMode="External"/><Relationship Id="rId36" Type="http://schemas.openxmlformats.org/officeDocument/2006/relationships/hyperlink" Target="mailto:500-@" TargetMode="External"/><Relationship Id="rId49" Type="http://schemas.openxmlformats.org/officeDocument/2006/relationships/hyperlink" Target="mailto:300-@" TargetMode="External"/><Relationship Id="rId57" Type="http://schemas.openxmlformats.org/officeDocument/2006/relationships/hyperlink" Target="mailto:350-@" TargetMode="External"/><Relationship Id="rId106" Type="http://schemas.openxmlformats.org/officeDocument/2006/relationships/hyperlink" Target="mailto:350-@" TargetMode="External"/><Relationship Id="rId114" Type="http://schemas.openxmlformats.org/officeDocument/2006/relationships/hyperlink" Target="mailto:530-@" TargetMode="External"/><Relationship Id="rId10" Type="http://schemas.openxmlformats.org/officeDocument/2006/relationships/hyperlink" Target="mailto:250-@" TargetMode="External"/><Relationship Id="rId31" Type="http://schemas.openxmlformats.org/officeDocument/2006/relationships/hyperlink" Target="mailto:200-@" TargetMode="External"/><Relationship Id="rId44" Type="http://schemas.openxmlformats.org/officeDocument/2006/relationships/hyperlink" Target="mailto:200-@" TargetMode="External"/><Relationship Id="rId52" Type="http://schemas.openxmlformats.org/officeDocument/2006/relationships/hyperlink" Target="mailto:300-@" TargetMode="External"/><Relationship Id="rId60" Type="http://schemas.openxmlformats.org/officeDocument/2006/relationships/hyperlink" Target="mailto:200-@" TargetMode="External"/><Relationship Id="rId65" Type="http://schemas.openxmlformats.org/officeDocument/2006/relationships/hyperlink" Target="mailto:0-@" TargetMode="External"/><Relationship Id="rId73" Type="http://schemas.openxmlformats.org/officeDocument/2006/relationships/hyperlink" Target="mailto:300-@" TargetMode="External"/><Relationship Id="rId78" Type="http://schemas.openxmlformats.org/officeDocument/2006/relationships/hyperlink" Target="mailto:no@" TargetMode="External"/><Relationship Id="rId81" Type="http://schemas.openxmlformats.org/officeDocument/2006/relationships/hyperlink" Target="mailto:330-@" TargetMode="External"/><Relationship Id="rId86" Type="http://schemas.openxmlformats.org/officeDocument/2006/relationships/hyperlink" Target="mailto:460-@" TargetMode="External"/><Relationship Id="rId94" Type="http://schemas.openxmlformats.org/officeDocument/2006/relationships/hyperlink" Target="mailto:300-@" TargetMode="External"/><Relationship Id="rId99" Type="http://schemas.openxmlformats.org/officeDocument/2006/relationships/hyperlink" Target="mailto:420-@" TargetMode="External"/><Relationship Id="rId101" Type="http://schemas.openxmlformats.org/officeDocument/2006/relationships/hyperlink" Target="mailto:200-@" TargetMode="External"/><Relationship Id="rId4" Type="http://schemas.openxmlformats.org/officeDocument/2006/relationships/hyperlink" Target="mailto:475-@" TargetMode="External"/><Relationship Id="rId9" Type="http://schemas.openxmlformats.org/officeDocument/2006/relationships/hyperlink" Target="mailto:150-@" TargetMode="External"/><Relationship Id="rId13" Type="http://schemas.openxmlformats.org/officeDocument/2006/relationships/hyperlink" Target="mailto:515-@" TargetMode="External"/><Relationship Id="rId18" Type="http://schemas.openxmlformats.org/officeDocument/2006/relationships/hyperlink" Target="mailto:alt-@520" TargetMode="External"/><Relationship Id="rId39" Type="http://schemas.openxmlformats.org/officeDocument/2006/relationships/hyperlink" Target="mailto:350-@" TargetMode="External"/><Relationship Id="rId109" Type="http://schemas.openxmlformats.org/officeDocument/2006/relationships/hyperlink" Target="mailto:419-@" TargetMode="External"/><Relationship Id="rId34" Type="http://schemas.openxmlformats.org/officeDocument/2006/relationships/hyperlink" Target="mailto:400-@" TargetMode="External"/><Relationship Id="rId50" Type="http://schemas.openxmlformats.org/officeDocument/2006/relationships/hyperlink" Target="mailto:200-@" TargetMode="External"/><Relationship Id="rId55" Type="http://schemas.openxmlformats.org/officeDocument/2006/relationships/hyperlink" Target="mailto:500-@" TargetMode="External"/><Relationship Id="rId76" Type="http://schemas.openxmlformats.org/officeDocument/2006/relationships/hyperlink" Target="mailto:340-@" TargetMode="External"/><Relationship Id="rId97" Type="http://schemas.openxmlformats.org/officeDocument/2006/relationships/hyperlink" Target="mailto:460-@?" TargetMode="External"/><Relationship Id="rId104" Type="http://schemas.openxmlformats.org/officeDocument/2006/relationships/hyperlink" Target="mailto:350-@" TargetMode="External"/><Relationship Id="rId7" Type="http://schemas.openxmlformats.org/officeDocument/2006/relationships/hyperlink" Target="mailto:460-@" TargetMode="External"/><Relationship Id="rId71" Type="http://schemas.openxmlformats.org/officeDocument/2006/relationships/hyperlink" Target="mailto:560-@" TargetMode="External"/><Relationship Id="rId92" Type="http://schemas.openxmlformats.org/officeDocument/2006/relationships/hyperlink" Target="mailto:300-@" TargetMode="External"/><Relationship Id="rId2" Type="http://schemas.openxmlformats.org/officeDocument/2006/relationships/hyperlink" Target="mailto:400-@" TargetMode="External"/><Relationship Id="rId29" Type="http://schemas.openxmlformats.org/officeDocument/2006/relationships/hyperlink" Target="mailto:alt@450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0-@" TargetMode="External"/><Relationship Id="rId117" Type="http://schemas.openxmlformats.org/officeDocument/2006/relationships/hyperlink" Target="mailto:315-@" TargetMode="External"/><Relationship Id="rId21" Type="http://schemas.openxmlformats.org/officeDocument/2006/relationships/hyperlink" Target="mailto:530-@" TargetMode="External"/><Relationship Id="rId42" Type="http://schemas.openxmlformats.org/officeDocument/2006/relationships/hyperlink" Target="mailto:520-@" TargetMode="External"/><Relationship Id="rId47" Type="http://schemas.openxmlformats.org/officeDocument/2006/relationships/hyperlink" Target="mailto:630-@" TargetMode="External"/><Relationship Id="rId63" Type="http://schemas.openxmlformats.org/officeDocument/2006/relationships/hyperlink" Target="mailto:str=200-@=48,45,6" TargetMode="External"/><Relationship Id="rId68" Type="http://schemas.openxmlformats.org/officeDocument/2006/relationships/hyperlink" Target="mailto:450-@" TargetMode="External"/><Relationship Id="rId84" Type="http://schemas.openxmlformats.org/officeDocument/2006/relationships/hyperlink" Target="mailto:400-@" TargetMode="External"/><Relationship Id="rId89" Type="http://schemas.openxmlformats.org/officeDocument/2006/relationships/hyperlink" Target="mailto:500-@" TargetMode="External"/><Relationship Id="rId112" Type="http://schemas.openxmlformats.org/officeDocument/2006/relationships/hyperlink" Target="mailto:575-@" TargetMode="External"/><Relationship Id="rId16" Type="http://schemas.openxmlformats.org/officeDocument/2006/relationships/hyperlink" Target="mailto:470-@" TargetMode="External"/><Relationship Id="rId107" Type="http://schemas.openxmlformats.org/officeDocument/2006/relationships/hyperlink" Target="mailto:100-@" TargetMode="External"/><Relationship Id="rId11" Type="http://schemas.openxmlformats.org/officeDocument/2006/relationships/hyperlink" Target="mailto:570-@" TargetMode="External"/><Relationship Id="rId24" Type="http://schemas.openxmlformats.org/officeDocument/2006/relationships/hyperlink" Target="mailto:610-@" TargetMode="External"/><Relationship Id="rId32" Type="http://schemas.openxmlformats.org/officeDocument/2006/relationships/hyperlink" Target="mailto:600-@" TargetMode="External"/><Relationship Id="rId37" Type="http://schemas.openxmlformats.org/officeDocument/2006/relationships/hyperlink" Target="mailto:600-@" TargetMode="External"/><Relationship Id="rId40" Type="http://schemas.openxmlformats.org/officeDocument/2006/relationships/hyperlink" Target="mailto:0-@" TargetMode="External"/><Relationship Id="rId45" Type="http://schemas.openxmlformats.org/officeDocument/2006/relationships/hyperlink" Target="mailto:630-@" TargetMode="External"/><Relationship Id="rId53" Type="http://schemas.openxmlformats.org/officeDocument/2006/relationships/hyperlink" Target="mailto:530-@" TargetMode="External"/><Relationship Id="rId58" Type="http://schemas.openxmlformats.org/officeDocument/2006/relationships/hyperlink" Target="mailto:520-@" TargetMode="External"/><Relationship Id="rId66" Type="http://schemas.openxmlformats.org/officeDocument/2006/relationships/hyperlink" Target="mailto:400-@" TargetMode="External"/><Relationship Id="rId74" Type="http://schemas.openxmlformats.org/officeDocument/2006/relationships/hyperlink" Target="mailto:400-@" TargetMode="External"/><Relationship Id="rId79" Type="http://schemas.openxmlformats.org/officeDocument/2006/relationships/hyperlink" Target="mailto:470-@" TargetMode="External"/><Relationship Id="rId87" Type="http://schemas.openxmlformats.org/officeDocument/2006/relationships/hyperlink" Target="mailto:610-@" TargetMode="External"/><Relationship Id="rId102" Type="http://schemas.openxmlformats.org/officeDocument/2006/relationships/hyperlink" Target="mailto:475-@" TargetMode="External"/><Relationship Id="rId110" Type="http://schemas.openxmlformats.org/officeDocument/2006/relationships/hyperlink" Target="mailto:0-@" TargetMode="External"/><Relationship Id="rId115" Type="http://schemas.openxmlformats.org/officeDocument/2006/relationships/hyperlink" Target="mailto:575-@" TargetMode="External"/><Relationship Id="rId5" Type="http://schemas.openxmlformats.org/officeDocument/2006/relationships/hyperlink" Target="mailto:530-@" TargetMode="External"/><Relationship Id="rId61" Type="http://schemas.openxmlformats.org/officeDocument/2006/relationships/hyperlink" Target="mailto:150-@" TargetMode="External"/><Relationship Id="rId82" Type="http://schemas.openxmlformats.org/officeDocument/2006/relationships/hyperlink" Target="mailto:470-@" TargetMode="External"/><Relationship Id="rId90" Type="http://schemas.openxmlformats.org/officeDocument/2006/relationships/hyperlink" Target="mailto:560-@" TargetMode="External"/><Relationship Id="rId95" Type="http://schemas.openxmlformats.org/officeDocument/2006/relationships/hyperlink" Target="mailto:620-@" TargetMode="External"/><Relationship Id="rId19" Type="http://schemas.openxmlformats.org/officeDocument/2006/relationships/hyperlink" Target="mailto:530-@" TargetMode="External"/><Relationship Id="rId14" Type="http://schemas.openxmlformats.org/officeDocument/2006/relationships/hyperlink" Target="mailto:400-@" TargetMode="External"/><Relationship Id="rId22" Type="http://schemas.openxmlformats.org/officeDocument/2006/relationships/hyperlink" Target="mailto:610-@" TargetMode="External"/><Relationship Id="rId27" Type="http://schemas.openxmlformats.org/officeDocument/2006/relationships/hyperlink" Target="mailto:500-@" TargetMode="External"/><Relationship Id="rId30" Type="http://schemas.openxmlformats.org/officeDocument/2006/relationships/hyperlink" Target="mailto:0-@" TargetMode="External"/><Relationship Id="rId35" Type="http://schemas.openxmlformats.org/officeDocument/2006/relationships/hyperlink" Target="mailto:600-@" TargetMode="External"/><Relationship Id="rId43" Type="http://schemas.openxmlformats.org/officeDocument/2006/relationships/hyperlink" Target="mailto:0-@" TargetMode="External"/><Relationship Id="rId48" Type="http://schemas.openxmlformats.org/officeDocument/2006/relationships/hyperlink" Target="mailto:500-@" TargetMode="External"/><Relationship Id="rId56" Type="http://schemas.openxmlformats.org/officeDocument/2006/relationships/hyperlink" Target="mailto:350-@" TargetMode="External"/><Relationship Id="rId64" Type="http://schemas.openxmlformats.org/officeDocument/2006/relationships/hyperlink" Target="mailto:510-@" TargetMode="External"/><Relationship Id="rId69" Type="http://schemas.openxmlformats.org/officeDocument/2006/relationships/hyperlink" Target="mailto:340-@" TargetMode="External"/><Relationship Id="rId77" Type="http://schemas.openxmlformats.org/officeDocument/2006/relationships/hyperlink" Target="mailto:300-@" TargetMode="External"/><Relationship Id="rId100" Type="http://schemas.openxmlformats.org/officeDocument/2006/relationships/hyperlink" Target="mailto:550-@" TargetMode="External"/><Relationship Id="rId105" Type="http://schemas.openxmlformats.org/officeDocument/2006/relationships/hyperlink" Target="mailto:670-@" TargetMode="External"/><Relationship Id="rId113" Type="http://schemas.openxmlformats.org/officeDocument/2006/relationships/hyperlink" Target="mailto:680-@" TargetMode="External"/><Relationship Id="rId8" Type="http://schemas.openxmlformats.org/officeDocument/2006/relationships/hyperlink" Target="mailto:200-@" TargetMode="External"/><Relationship Id="rId51" Type="http://schemas.openxmlformats.org/officeDocument/2006/relationships/hyperlink" Target="mailto:0-@" TargetMode="External"/><Relationship Id="rId72" Type="http://schemas.openxmlformats.org/officeDocument/2006/relationships/hyperlink" Target="mailto:300-@" TargetMode="External"/><Relationship Id="rId80" Type="http://schemas.openxmlformats.org/officeDocument/2006/relationships/hyperlink" Target="mailto:0-@" TargetMode="External"/><Relationship Id="rId85" Type="http://schemas.openxmlformats.org/officeDocument/2006/relationships/hyperlink" Target="mailto:570-@" TargetMode="External"/><Relationship Id="rId93" Type="http://schemas.openxmlformats.org/officeDocument/2006/relationships/hyperlink" Target="mailto:200-@" TargetMode="External"/><Relationship Id="rId98" Type="http://schemas.openxmlformats.org/officeDocument/2006/relationships/hyperlink" Target="mailto:225-@" TargetMode="External"/><Relationship Id="rId3" Type="http://schemas.openxmlformats.org/officeDocument/2006/relationships/hyperlink" Target="mailto:0-@" TargetMode="External"/><Relationship Id="rId12" Type="http://schemas.openxmlformats.org/officeDocument/2006/relationships/hyperlink" Target="mailto:450-@" TargetMode="External"/><Relationship Id="rId17" Type="http://schemas.openxmlformats.org/officeDocument/2006/relationships/hyperlink" Target="mailto:200-@" TargetMode="External"/><Relationship Id="rId25" Type="http://schemas.openxmlformats.org/officeDocument/2006/relationships/hyperlink" Target="mailto:630-@" TargetMode="External"/><Relationship Id="rId33" Type="http://schemas.openxmlformats.org/officeDocument/2006/relationships/hyperlink" Target="mailto:0-@" TargetMode="External"/><Relationship Id="rId38" Type="http://schemas.openxmlformats.org/officeDocument/2006/relationships/hyperlink" Target="mailto:0-@" TargetMode="External"/><Relationship Id="rId46" Type="http://schemas.openxmlformats.org/officeDocument/2006/relationships/hyperlink" Target="mailto:550-@" TargetMode="External"/><Relationship Id="rId59" Type="http://schemas.openxmlformats.org/officeDocument/2006/relationships/hyperlink" Target="mailto:str=575-@=50,59,17" TargetMode="External"/><Relationship Id="rId67" Type="http://schemas.openxmlformats.org/officeDocument/2006/relationships/hyperlink" Target="mailto:410-@" TargetMode="External"/><Relationship Id="rId103" Type="http://schemas.openxmlformats.org/officeDocument/2006/relationships/hyperlink" Target="mailto:500-@" TargetMode="External"/><Relationship Id="rId108" Type="http://schemas.openxmlformats.org/officeDocument/2006/relationships/hyperlink" Target="mailto:690-@" TargetMode="External"/><Relationship Id="rId116" Type="http://schemas.openxmlformats.org/officeDocument/2006/relationships/hyperlink" Target="mailto:550-@" TargetMode="External"/><Relationship Id="rId20" Type="http://schemas.openxmlformats.org/officeDocument/2006/relationships/hyperlink" Target="mailto:560-@" TargetMode="External"/><Relationship Id="rId41" Type="http://schemas.openxmlformats.org/officeDocument/2006/relationships/hyperlink" Target="mailto:200-@" TargetMode="External"/><Relationship Id="rId54" Type="http://schemas.openxmlformats.org/officeDocument/2006/relationships/hyperlink" Target="mailto:450-@" TargetMode="External"/><Relationship Id="rId62" Type="http://schemas.openxmlformats.org/officeDocument/2006/relationships/hyperlink" Target="mailto:450-@" TargetMode="External"/><Relationship Id="rId70" Type="http://schemas.openxmlformats.org/officeDocument/2006/relationships/hyperlink" Target="mailto:315-@" TargetMode="External"/><Relationship Id="rId75" Type="http://schemas.openxmlformats.org/officeDocument/2006/relationships/hyperlink" Target="mailto:340-@" TargetMode="External"/><Relationship Id="rId83" Type="http://schemas.openxmlformats.org/officeDocument/2006/relationships/hyperlink" Target="mailto:400-@" TargetMode="External"/><Relationship Id="rId88" Type="http://schemas.openxmlformats.org/officeDocument/2006/relationships/hyperlink" Target="mailto:500-@" TargetMode="External"/><Relationship Id="rId91" Type="http://schemas.openxmlformats.org/officeDocument/2006/relationships/hyperlink" Target="mailto:500-@" TargetMode="External"/><Relationship Id="rId96" Type="http://schemas.openxmlformats.org/officeDocument/2006/relationships/hyperlink" Target="mailto:600-@?" TargetMode="External"/><Relationship Id="rId111" Type="http://schemas.openxmlformats.org/officeDocument/2006/relationships/hyperlink" Target="mailto:620-@" TargetMode="External"/><Relationship Id="rId1" Type="http://schemas.openxmlformats.org/officeDocument/2006/relationships/hyperlink" Target="mailto:515-@" TargetMode="External"/><Relationship Id="rId6" Type="http://schemas.openxmlformats.org/officeDocument/2006/relationships/hyperlink" Target="mailto:0-@" TargetMode="External"/><Relationship Id="rId15" Type="http://schemas.openxmlformats.org/officeDocument/2006/relationships/hyperlink" Target="mailto:str=520-@=11,45,2" TargetMode="External"/><Relationship Id="rId23" Type="http://schemas.openxmlformats.org/officeDocument/2006/relationships/hyperlink" Target="mailto:575-@" TargetMode="External"/><Relationship Id="rId28" Type="http://schemas.openxmlformats.org/officeDocument/2006/relationships/hyperlink" Target="mailto:630-@" TargetMode="External"/><Relationship Id="rId36" Type="http://schemas.openxmlformats.org/officeDocument/2006/relationships/hyperlink" Target="mailto:0-@" TargetMode="External"/><Relationship Id="rId49" Type="http://schemas.openxmlformats.org/officeDocument/2006/relationships/hyperlink" Target="mailto:600-@" TargetMode="External"/><Relationship Id="rId57" Type="http://schemas.openxmlformats.org/officeDocument/2006/relationships/hyperlink" Target="mailto:550-@" TargetMode="External"/><Relationship Id="rId106" Type="http://schemas.openxmlformats.org/officeDocument/2006/relationships/hyperlink" Target="mailto:600-@" TargetMode="External"/><Relationship Id="rId114" Type="http://schemas.openxmlformats.org/officeDocument/2006/relationships/hyperlink" Target="mailto:680-@" TargetMode="External"/><Relationship Id="rId10" Type="http://schemas.openxmlformats.org/officeDocument/2006/relationships/hyperlink" Target="mailto:200-@" TargetMode="External"/><Relationship Id="rId31" Type="http://schemas.openxmlformats.org/officeDocument/2006/relationships/hyperlink" Target="mailto:500-@" TargetMode="External"/><Relationship Id="rId44" Type="http://schemas.openxmlformats.org/officeDocument/2006/relationships/hyperlink" Target="mailto:550-@" TargetMode="External"/><Relationship Id="rId52" Type="http://schemas.openxmlformats.org/officeDocument/2006/relationships/hyperlink" Target="mailto:520-@" TargetMode="External"/><Relationship Id="rId60" Type="http://schemas.openxmlformats.org/officeDocument/2006/relationships/hyperlink" Target="mailto:310-@" TargetMode="External"/><Relationship Id="rId65" Type="http://schemas.openxmlformats.org/officeDocument/2006/relationships/hyperlink" Target="mailto:490-@" TargetMode="External"/><Relationship Id="rId73" Type="http://schemas.openxmlformats.org/officeDocument/2006/relationships/hyperlink" Target="mailto:str=430-@=66,61,32;%20also%20200-400=245,-33,28" TargetMode="External"/><Relationship Id="rId78" Type="http://schemas.openxmlformats.org/officeDocument/2006/relationships/hyperlink" Target="mailto:300-@" TargetMode="External"/><Relationship Id="rId81" Type="http://schemas.openxmlformats.org/officeDocument/2006/relationships/hyperlink" Target="mailto:0-@" TargetMode="External"/><Relationship Id="rId86" Type="http://schemas.openxmlformats.org/officeDocument/2006/relationships/hyperlink" Target="mailto:530-@" TargetMode="External"/><Relationship Id="rId94" Type="http://schemas.openxmlformats.org/officeDocument/2006/relationships/hyperlink" Target="mailto:200-@" TargetMode="External"/><Relationship Id="rId99" Type="http://schemas.openxmlformats.org/officeDocument/2006/relationships/hyperlink" Target="mailto:575-@" TargetMode="External"/><Relationship Id="rId101" Type="http://schemas.openxmlformats.org/officeDocument/2006/relationships/hyperlink" Target="mailto:525-@" TargetMode="External"/><Relationship Id="rId4" Type="http://schemas.openxmlformats.org/officeDocument/2006/relationships/hyperlink" Target="mailto:300-@" TargetMode="External"/><Relationship Id="rId9" Type="http://schemas.openxmlformats.org/officeDocument/2006/relationships/hyperlink" Target="mailto:550-@" TargetMode="External"/><Relationship Id="rId13" Type="http://schemas.openxmlformats.org/officeDocument/2006/relationships/hyperlink" Target="mailto:200-@" TargetMode="External"/><Relationship Id="rId18" Type="http://schemas.openxmlformats.org/officeDocument/2006/relationships/hyperlink" Target="mailto:460-@" TargetMode="External"/><Relationship Id="rId39" Type="http://schemas.openxmlformats.org/officeDocument/2006/relationships/hyperlink" Target="mailto:610-@" TargetMode="External"/><Relationship Id="rId109" Type="http://schemas.openxmlformats.org/officeDocument/2006/relationships/hyperlink" Target="mailto:200-@" TargetMode="External"/><Relationship Id="rId34" Type="http://schemas.openxmlformats.org/officeDocument/2006/relationships/hyperlink" Target="mailto:630-@" TargetMode="External"/><Relationship Id="rId50" Type="http://schemas.openxmlformats.org/officeDocument/2006/relationships/hyperlink" Target="mailto:530-@" TargetMode="External"/><Relationship Id="rId55" Type="http://schemas.openxmlformats.org/officeDocument/2006/relationships/hyperlink" Target="mailto:500-@" TargetMode="External"/><Relationship Id="rId76" Type="http://schemas.openxmlformats.org/officeDocument/2006/relationships/hyperlink" Target="mailto:200-@" TargetMode="External"/><Relationship Id="rId97" Type="http://schemas.openxmlformats.org/officeDocument/2006/relationships/hyperlink" Target="mailto:400-@" TargetMode="External"/><Relationship Id="rId104" Type="http://schemas.openxmlformats.org/officeDocument/2006/relationships/hyperlink" Target="mailto:690-@" TargetMode="External"/><Relationship Id="rId7" Type="http://schemas.openxmlformats.org/officeDocument/2006/relationships/hyperlink" Target="mailto:470-@" TargetMode="External"/><Relationship Id="rId71" Type="http://schemas.openxmlformats.org/officeDocument/2006/relationships/hyperlink" Target="mailto:415-@" TargetMode="External"/><Relationship Id="rId92" Type="http://schemas.openxmlformats.org/officeDocument/2006/relationships/hyperlink" Target="mailto:300-@" TargetMode="External"/><Relationship Id="rId2" Type="http://schemas.openxmlformats.org/officeDocument/2006/relationships/hyperlink" Target="mailto:500-@" TargetMode="External"/><Relationship Id="rId29" Type="http://schemas.openxmlformats.org/officeDocument/2006/relationships/hyperlink" Target="mailto:0-@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mailto:335-@" TargetMode="External"/><Relationship Id="rId18" Type="http://schemas.openxmlformats.org/officeDocument/2006/relationships/hyperlink" Target="mailto:100-@" TargetMode="External"/><Relationship Id="rId26" Type="http://schemas.openxmlformats.org/officeDocument/2006/relationships/hyperlink" Target="mailto:375-@" TargetMode="External"/><Relationship Id="rId39" Type="http://schemas.openxmlformats.org/officeDocument/2006/relationships/hyperlink" Target="mailto:0-@" TargetMode="External"/><Relationship Id="rId3" Type="http://schemas.openxmlformats.org/officeDocument/2006/relationships/hyperlink" Target="mailto:0-@" TargetMode="External"/><Relationship Id="rId21" Type="http://schemas.openxmlformats.org/officeDocument/2006/relationships/hyperlink" Target="mailto:410-@" TargetMode="External"/><Relationship Id="rId34" Type="http://schemas.openxmlformats.org/officeDocument/2006/relationships/hyperlink" Target="mailto:420-@" TargetMode="External"/><Relationship Id="rId42" Type="http://schemas.openxmlformats.org/officeDocument/2006/relationships/hyperlink" Target="mailto:440-@" TargetMode="External"/><Relationship Id="rId47" Type="http://schemas.openxmlformats.org/officeDocument/2006/relationships/hyperlink" Target="mailto:470-@" TargetMode="External"/><Relationship Id="rId50" Type="http://schemas.openxmlformats.org/officeDocument/2006/relationships/hyperlink" Target="mailto:480-@" TargetMode="External"/><Relationship Id="rId7" Type="http://schemas.openxmlformats.org/officeDocument/2006/relationships/hyperlink" Target="mailto:100-@" TargetMode="External"/><Relationship Id="rId12" Type="http://schemas.openxmlformats.org/officeDocument/2006/relationships/hyperlink" Target="mailto:415-@" TargetMode="External"/><Relationship Id="rId17" Type="http://schemas.openxmlformats.org/officeDocument/2006/relationships/hyperlink" Target="mailto:100-@" TargetMode="External"/><Relationship Id="rId25" Type="http://schemas.openxmlformats.org/officeDocument/2006/relationships/hyperlink" Target="mailto:100-@" TargetMode="External"/><Relationship Id="rId33" Type="http://schemas.openxmlformats.org/officeDocument/2006/relationships/hyperlink" Target="mailto:415-@" TargetMode="External"/><Relationship Id="rId38" Type="http://schemas.openxmlformats.org/officeDocument/2006/relationships/hyperlink" Target="mailto:0-@" TargetMode="External"/><Relationship Id="rId46" Type="http://schemas.openxmlformats.org/officeDocument/2006/relationships/hyperlink" Target="mailto:220-@" TargetMode="External"/><Relationship Id="rId2" Type="http://schemas.openxmlformats.org/officeDocument/2006/relationships/hyperlink" Target="mailto:490-@" TargetMode="External"/><Relationship Id="rId16" Type="http://schemas.openxmlformats.org/officeDocument/2006/relationships/hyperlink" Target="mailto:410-@" TargetMode="External"/><Relationship Id="rId20" Type="http://schemas.openxmlformats.org/officeDocument/2006/relationships/hyperlink" Target="mailto:415-@" TargetMode="External"/><Relationship Id="rId29" Type="http://schemas.openxmlformats.org/officeDocument/2006/relationships/hyperlink" Target="mailto:450-@" TargetMode="External"/><Relationship Id="rId41" Type="http://schemas.openxmlformats.org/officeDocument/2006/relationships/hyperlink" Target="mailto:480-@" TargetMode="External"/><Relationship Id="rId54" Type="http://schemas.openxmlformats.org/officeDocument/2006/relationships/hyperlink" Target="mailto:440-@" TargetMode="External"/><Relationship Id="rId1" Type="http://schemas.openxmlformats.org/officeDocument/2006/relationships/hyperlink" Target="mailto:490-@" TargetMode="External"/><Relationship Id="rId6" Type="http://schemas.openxmlformats.org/officeDocument/2006/relationships/hyperlink" Target="mailto:100-@" TargetMode="External"/><Relationship Id="rId11" Type="http://schemas.openxmlformats.org/officeDocument/2006/relationships/hyperlink" Target="mailto:0-@" TargetMode="External"/><Relationship Id="rId24" Type="http://schemas.openxmlformats.org/officeDocument/2006/relationships/hyperlink" Target="mailto:420-@" TargetMode="External"/><Relationship Id="rId32" Type="http://schemas.openxmlformats.org/officeDocument/2006/relationships/hyperlink" Target="mailto:420-@" TargetMode="External"/><Relationship Id="rId37" Type="http://schemas.openxmlformats.org/officeDocument/2006/relationships/hyperlink" Target="mailto:335-@" TargetMode="External"/><Relationship Id="rId40" Type="http://schemas.openxmlformats.org/officeDocument/2006/relationships/hyperlink" Target="mailto:460-@" TargetMode="External"/><Relationship Id="rId45" Type="http://schemas.openxmlformats.org/officeDocument/2006/relationships/hyperlink" Target="mailto:100-@" TargetMode="External"/><Relationship Id="rId53" Type="http://schemas.openxmlformats.org/officeDocument/2006/relationships/hyperlink" Target="mailto:450-@" TargetMode="External"/><Relationship Id="rId5" Type="http://schemas.openxmlformats.org/officeDocument/2006/relationships/hyperlink" Target="mailto:490-@" TargetMode="External"/><Relationship Id="rId15" Type="http://schemas.openxmlformats.org/officeDocument/2006/relationships/hyperlink" Target="mailto:430-@" TargetMode="External"/><Relationship Id="rId23" Type="http://schemas.openxmlformats.org/officeDocument/2006/relationships/hyperlink" Target="mailto:440-@" TargetMode="External"/><Relationship Id="rId28" Type="http://schemas.openxmlformats.org/officeDocument/2006/relationships/hyperlink" Target="mailto:335-@" TargetMode="External"/><Relationship Id="rId36" Type="http://schemas.openxmlformats.org/officeDocument/2006/relationships/hyperlink" Target="mailto:0-@" TargetMode="External"/><Relationship Id="rId49" Type="http://schemas.openxmlformats.org/officeDocument/2006/relationships/hyperlink" Target="mailto:470-@" TargetMode="External"/><Relationship Id="rId10" Type="http://schemas.openxmlformats.org/officeDocument/2006/relationships/hyperlink" Target="mailto:370-@" TargetMode="External"/><Relationship Id="rId19" Type="http://schemas.openxmlformats.org/officeDocument/2006/relationships/hyperlink" Target="mailto:400-@" TargetMode="External"/><Relationship Id="rId31" Type="http://schemas.openxmlformats.org/officeDocument/2006/relationships/hyperlink" Target="mailto:250-@" TargetMode="External"/><Relationship Id="rId44" Type="http://schemas.openxmlformats.org/officeDocument/2006/relationships/hyperlink" Target="mailto:420-@" TargetMode="External"/><Relationship Id="rId52" Type="http://schemas.openxmlformats.org/officeDocument/2006/relationships/hyperlink" Target="mailto:480-@" TargetMode="External"/><Relationship Id="rId4" Type="http://schemas.openxmlformats.org/officeDocument/2006/relationships/hyperlink" Target="mailto:100-@" TargetMode="External"/><Relationship Id="rId9" Type="http://schemas.openxmlformats.org/officeDocument/2006/relationships/hyperlink" Target="mailto:300-@" TargetMode="External"/><Relationship Id="rId14" Type="http://schemas.openxmlformats.org/officeDocument/2006/relationships/hyperlink" Target="mailto:450-@" TargetMode="External"/><Relationship Id="rId22" Type="http://schemas.openxmlformats.org/officeDocument/2006/relationships/hyperlink" Target="mailto:100-@" TargetMode="External"/><Relationship Id="rId27" Type="http://schemas.openxmlformats.org/officeDocument/2006/relationships/hyperlink" Target="mailto:0-@" TargetMode="External"/><Relationship Id="rId30" Type="http://schemas.openxmlformats.org/officeDocument/2006/relationships/hyperlink" Target="mailto:410-@" TargetMode="External"/><Relationship Id="rId35" Type="http://schemas.openxmlformats.org/officeDocument/2006/relationships/hyperlink" Target="mailto:0-@" TargetMode="External"/><Relationship Id="rId43" Type="http://schemas.openxmlformats.org/officeDocument/2006/relationships/hyperlink" Target="mailto:430-@" TargetMode="External"/><Relationship Id="rId48" Type="http://schemas.openxmlformats.org/officeDocument/2006/relationships/hyperlink" Target="mailto:320-@" TargetMode="External"/><Relationship Id="rId8" Type="http://schemas.openxmlformats.org/officeDocument/2006/relationships/hyperlink" Target="mailto:430-@" TargetMode="External"/><Relationship Id="rId51" Type="http://schemas.openxmlformats.org/officeDocument/2006/relationships/hyperlink" Target="mailto:510-@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320-@" TargetMode="External"/><Relationship Id="rId13" Type="http://schemas.openxmlformats.org/officeDocument/2006/relationships/hyperlink" Target="mailto:500-@" TargetMode="External"/><Relationship Id="rId18" Type="http://schemas.openxmlformats.org/officeDocument/2006/relationships/hyperlink" Target="mailto:0-@" TargetMode="External"/><Relationship Id="rId26" Type="http://schemas.openxmlformats.org/officeDocument/2006/relationships/hyperlink" Target="mailto:100-@" TargetMode="External"/><Relationship Id="rId3" Type="http://schemas.openxmlformats.org/officeDocument/2006/relationships/hyperlink" Target="mailto:330-@" TargetMode="External"/><Relationship Id="rId21" Type="http://schemas.openxmlformats.org/officeDocument/2006/relationships/hyperlink" Target="mailto:365-@" TargetMode="External"/><Relationship Id="rId7" Type="http://schemas.openxmlformats.org/officeDocument/2006/relationships/hyperlink" Target="mailto:215-@??" TargetMode="External"/><Relationship Id="rId12" Type="http://schemas.openxmlformats.org/officeDocument/2006/relationships/hyperlink" Target="mailto:410-@" TargetMode="External"/><Relationship Id="rId17" Type="http://schemas.openxmlformats.org/officeDocument/2006/relationships/hyperlink" Target="mailto:210-@" TargetMode="External"/><Relationship Id="rId25" Type="http://schemas.openxmlformats.org/officeDocument/2006/relationships/hyperlink" Target="mailto:350-@" TargetMode="External"/><Relationship Id="rId2" Type="http://schemas.openxmlformats.org/officeDocument/2006/relationships/hyperlink" Target="mailto:330-@" TargetMode="External"/><Relationship Id="rId16" Type="http://schemas.openxmlformats.org/officeDocument/2006/relationships/hyperlink" Target="mailto:0-@" TargetMode="External"/><Relationship Id="rId20" Type="http://schemas.openxmlformats.org/officeDocument/2006/relationships/hyperlink" Target="mailto:330-@" TargetMode="External"/><Relationship Id="rId29" Type="http://schemas.openxmlformats.org/officeDocument/2006/relationships/hyperlink" Target="mailto:250-@" TargetMode="External"/><Relationship Id="rId1" Type="http://schemas.openxmlformats.org/officeDocument/2006/relationships/hyperlink" Target="mailto:330-@" TargetMode="External"/><Relationship Id="rId6" Type="http://schemas.openxmlformats.org/officeDocument/2006/relationships/hyperlink" Target="mailto:310-@" TargetMode="External"/><Relationship Id="rId11" Type="http://schemas.openxmlformats.org/officeDocument/2006/relationships/hyperlink" Target="mailto:365-@" TargetMode="External"/><Relationship Id="rId24" Type="http://schemas.openxmlformats.org/officeDocument/2006/relationships/hyperlink" Target="mailto:100-@" TargetMode="External"/><Relationship Id="rId5" Type="http://schemas.openxmlformats.org/officeDocument/2006/relationships/hyperlink" Target="mailto:320-@" TargetMode="External"/><Relationship Id="rId15" Type="http://schemas.openxmlformats.org/officeDocument/2006/relationships/hyperlink" Target="mailto:350-@" TargetMode="External"/><Relationship Id="rId23" Type="http://schemas.openxmlformats.org/officeDocument/2006/relationships/hyperlink" Target="mailto:315-@" TargetMode="External"/><Relationship Id="rId28" Type="http://schemas.openxmlformats.org/officeDocument/2006/relationships/hyperlink" Target="mailto:180-@" TargetMode="External"/><Relationship Id="rId10" Type="http://schemas.openxmlformats.org/officeDocument/2006/relationships/hyperlink" Target="mailto:310-@" TargetMode="External"/><Relationship Id="rId19" Type="http://schemas.openxmlformats.org/officeDocument/2006/relationships/hyperlink" Target="mailto:330-@" TargetMode="External"/><Relationship Id="rId31" Type="http://schemas.openxmlformats.org/officeDocument/2006/relationships/comments" Target="../comments2.xml"/><Relationship Id="rId4" Type="http://schemas.openxmlformats.org/officeDocument/2006/relationships/hyperlink" Target="mailto:320-@" TargetMode="External"/><Relationship Id="rId9" Type="http://schemas.openxmlformats.org/officeDocument/2006/relationships/hyperlink" Target="mailto:315-@" TargetMode="External"/><Relationship Id="rId14" Type="http://schemas.openxmlformats.org/officeDocument/2006/relationships/hyperlink" Target="mailto:350-@" TargetMode="External"/><Relationship Id="rId22" Type="http://schemas.openxmlformats.org/officeDocument/2006/relationships/hyperlink" Target="mailto:350-@" TargetMode="External"/><Relationship Id="rId27" Type="http://schemas.openxmlformats.org/officeDocument/2006/relationships/hyperlink" Target="mailto:500-@?" TargetMode="External"/><Relationship Id="rId30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mailto:10-@" TargetMode="External"/><Relationship Id="rId18" Type="http://schemas.openxmlformats.org/officeDocument/2006/relationships/hyperlink" Target="mailto:0-@" TargetMode="External"/><Relationship Id="rId26" Type="http://schemas.openxmlformats.org/officeDocument/2006/relationships/hyperlink" Target="mailto:10-@" TargetMode="External"/><Relationship Id="rId39" Type="http://schemas.openxmlformats.org/officeDocument/2006/relationships/hyperlink" Target="mailto:10-@" TargetMode="External"/><Relationship Id="rId21" Type="http://schemas.openxmlformats.org/officeDocument/2006/relationships/hyperlink" Target="mailto:40-@" TargetMode="External"/><Relationship Id="rId34" Type="http://schemas.openxmlformats.org/officeDocument/2006/relationships/hyperlink" Target="mailto:50-@" TargetMode="External"/><Relationship Id="rId42" Type="http://schemas.openxmlformats.org/officeDocument/2006/relationships/hyperlink" Target="mailto:2-@" TargetMode="External"/><Relationship Id="rId47" Type="http://schemas.openxmlformats.org/officeDocument/2006/relationships/hyperlink" Target="mailto:210-@" TargetMode="External"/><Relationship Id="rId50" Type="http://schemas.openxmlformats.org/officeDocument/2006/relationships/hyperlink" Target="mailto:320-@" TargetMode="External"/><Relationship Id="rId55" Type="http://schemas.openxmlformats.org/officeDocument/2006/relationships/hyperlink" Target="mailto:210-@" TargetMode="External"/><Relationship Id="rId7" Type="http://schemas.openxmlformats.org/officeDocument/2006/relationships/hyperlink" Target="mailto:0-@" TargetMode="External"/><Relationship Id="rId12" Type="http://schemas.openxmlformats.org/officeDocument/2006/relationships/hyperlink" Target="mailto:1-@" TargetMode="External"/><Relationship Id="rId17" Type="http://schemas.openxmlformats.org/officeDocument/2006/relationships/hyperlink" Target="mailto:150-@" TargetMode="External"/><Relationship Id="rId25" Type="http://schemas.openxmlformats.org/officeDocument/2006/relationships/hyperlink" Target="mailto:75-@" TargetMode="External"/><Relationship Id="rId33" Type="http://schemas.openxmlformats.org/officeDocument/2006/relationships/hyperlink" Target="mailto:0-@" TargetMode="External"/><Relationship Id="rId38" Type="http://schemas.openxmlformats.org/officeDocument/2006/relationships/hyperlink" Target="mailto:250-@" TargetMode="External"/><Relationship Id="rId46" Type="http://schemas.openxmlformats.org/officeDocument/2006/relationships/hyperlink" Target="mailto:210-@" TargetMode="External"/><Relationship Id="rId2" Type="http://schemas.openxmlformats.org/officeDocument/2006/relationships/hyperlink" Target="mailto:3-@" TargetMode="External"/><Relationship Id="rId16" Type="http://schemas.openxmlformats.org/officeDocument/2006/relationships/hyperlink" Target="mailto:80-@" TargetMode="External"/><Relationship Id="rId20" Type="http://schemas.openxmlformats.org/officeDocument/2006/relationships/hyperlink" Target="mailto:1-@" TargetMode="External"/><Relationship Id="rId29" Type="http://schemas.openxmlformats.org/officeDocument/2006/relationships/hyperlink" Target="mailto:1-@" TargetMode="External"/><Relationship Id="rId41" Type="http://schemas.openxmlformats.org/officeDocument/2006/relationships/hyperlink" Target="mailto:10-@" TargetMode="External"/><Relationship Id="rId54" Type="http://schemas.openxmlformats.org/officeDocument/2006/relationships/hyperlink" Target="mailto:0-@" TargetMode="External"/><Relationship Id="rId1" Type="http://schemas.openxmlformats.org/officeDocument/2006/relationships/hyperlink" Target="mailto:80-@" TargetMode="External"/><Relationship Id="rId6" Type="http://schemas.openxmlformats.org/officeDocument/2006/relationships/hyperlink" Target="mailto:70-@" TargetMode="External"/><Relationship Id="rId11" Type="http://schemas.openxmlformats.org/officeDocument/2006/relationships/hyperlink" Target="mailto:260-@" TargetMode="External"/><Relationship Id="rId24" Type="http://schemas.openxmlformats.org/officeDocument/2006/relationships/hyperlink" Target="mailto:160-@" TargetMode="External"/><Relationship Id="rId32" Type="http://schemas.openxmlformats.org/officeDocument/2006/relationships/hyperlink" Target="mailto:1-@" TargetMode="External"/><Relationship Id="rId37" Type="http://schemas.openxmlformats.org/officeDocument/2006/relationships/hyperlink" Target="mailto:100-@" TargetMode="External"/><Relationship Id="rId40" Type="http://schemas.openxmlformats.org/officeDocument/2006/relationships/hyperlink" Target="mailto:230-@" TargetMode="External"/><Relationship Id="rId45" Type="http://schemas.openxmlformats.org/officeDocument/2006/relationships/hyperlink" Target="mailto:0-@" TargetMode="External"/><Relationship Id="rId53" Type="http://schemas.openxmlformats.org/officeDocument/2006/relationships/hyperlink" Target="mailto:125-@" TargetMode="External"/><Relationship Id="rId5" Type="http://schemas.openxmlformats.org/officeDocument/2006/relationships/hyperlink" Target="mailto:110-@" TargetMode="External"/><Relationship Id="rId15" Type="http://schemas.openxmlformats.org/officeDocument/2006/relationships/hyperlink" Target="mailto:0-@" TargetMode="External"/><Relationship Id="rId23" Type="http://schemas.openxmlformats.org/officeDocument/2006/relationships/hyperlink" Target="mailto:0-@" TargetMode="External"/><Relationship Id="rId28" Type="http://schemas.openxmlformats.org/officeDocument/2006/relationships/hyperlink" Target="mailto:60-@" TargetMode="External"/><Relationship Id="rId36" Type="http://schemas.openxmlformats.org/officeDocument/2006/relationships/hyperlink" Target="mailto:210-@" TargetMode="External"/><Relationship Id="rId49" Type="http://schemas.openxmlformats.org/officeDocument/2006/relationships/hyperlink" Target="mailto:50-@" TargetMode="External"/><Relationship Id="rId10" Type="http://schemas.openxmlformats.org/officeDocument/2006/relationships/hyperlink" Target="mailto:210-@,100-150" TargetMode="External"/><Relationship Id="rId19" Type="http://schemas.openxmlformats.org/officeDocument/2006/relationships/hyperlink" Target="mailto:30-@" TargetMode="External"/><Relationship Id="rId31" Type="http://schemas.openxmlformats.org/officeDocument/2006/relationships/hyperlink" Target="mailto:75-@" TargetMode="External"/><Relationship Id="rId44" Type="http://schemas.openxmlformats.org/officeDocument/2006/relationships/hyperlink" Target="mailto:210-@" TargetMode="External"/><Relationship Id="rId52" Type="http://schemas.openxmlformats.org/officeDocument/2006/relationships/hyperlink" Target="mailto:210-@" TargetMode="External"/><Relationship Id="rId4" Type="http://schemas.openxmlformats.org/officeDocument/2006/relationships/hyperlink" Target="mailto:150-@" TargetMode="External"/><Relationship Id="rId9" Type="http://schemas.openxmlformats.org/officeDocument/2006/relationships/hyperlink" Target="mailto:75-@" TargetMode="External"/><Relationship Id="rId14" Type="http://schemas.openxmlformats.org/officeDocument/2006/relationships/hyperlink" Target="mailto:140-@" TargetMode="External"/><Relationship Id="rId22" Type="http://schemas.openxmlformats.org/officeDocument/2006/relationships/hyperlink" Target="mailto:125-@" TargetMode="External"/><Relationship Id="rId27" Type="http://schemas.openxmlformats.org/officeDocument/2006/relationships/hyperlink" Target="mailto:0-@" TargetMode="External"/><Relationship Id="rId30" Type="http://schemas.openxmlformats.org/officeDocument/2006/relationships/hyperlink" Target="mailto:200-@" TargetMode="External"/><Relationship Id="rId35" Type="http://schemas.openxmlformats.org/officeDocument/2006/relationships/hyperlink" Target="mailto:299-@" TargetMode="External"/><Relationship Id="rId43" Type="http://schemas.openxmlformats.org/officeDocument/2006/relationships/hyperlink" Target="mailto:150-@" TargetMode="External"/><Relationship Id="rId48" Type="http://schemas.openxmlformats.org/officeDocument/2006/relationships/hyperlink" Target="mailto:1-@" TargetMode="External"/><Relationship Id="rId8" Type="http://schemas.openxmlformats.org/officeDocument/2006/relationships/hyperlink" Target="mailto:340-@" TargetMode="External"/><Relationship Id="rId51" Type="http://schemas.openxmlformats.org/officeDocument/2006/relationships/hyperlink" Target="mailto:150-@" TargetMode="External"/><Relationship Id="rId3" Type="http://schemas.openxmlformats.org/officeDocument/2006/relationships/hyperlink" Target="mailto:100-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G175"/>
  <sheetViews>
    <sheetView zoomScale="75" zoomScaleNormal="75" workbookViewId="0">
      <selection activeCell="G194" sqref="G194"/>
    </sheetView>
  </sheetViews>
  <sheetFormatPr defaultRowHeight="15"/>
  <cols>
    <col min="1" max="1" width="10.42578125" customWidth="1"/>
    <col min="2" max="2" width="7.85546875" customWidth="1"/>
    <col min="3" max="3" width="12.140625" customWidth="1"/>
    <col min="4" max="4" width="9.140625" customWidth="1"/>
    <col min="5" max="5" width="8.5703125" customWidth="1"/>
    <col min="6" max="6" width="6.42578125" customWidth="1"/>
    <col min="7" max="7" width="12.42578125" customWidth="1"/>
    <col min="8" max="8" width="5.85546875" customWidth="1"/>
    <col min="9" max="9" width="6.28515625" customWidth="1"/>
    <col min="10" max="10" width="5.140625" customWidth="1"/>
    <col min="11" max="11" width="9.140625" customWidth="1"/>
    <col min="12" max="12" width="4.7109375" customWidth="1"/>
    <col min="13" max="13" width="4" customWidth="1"/>
    <col min="14" max="14" width="4.7109375" style="3" customWidth="1"/>
    <col min="15" max="15" width="4" style="3" customWidth="1"/>
    <col min="16" max="16" width="6.28515625" style="2" customWidth="1"/>
    <col min="17" max="17" width="9.140625" customWidth="1"/>
    <col min="18" max="18" width="5.140625" customWidth="1"/>
    <col min="19" max="19" width="5" customWidth="1"/>
    <col min="20" max="20" width="6.5703125" style="5" customWidth="1"/>
    <col min="21" max="21" width="6.140625" style="5" customWidth="1"/>
    <col min="22" max="22" width="14.5703125" customWidth="1"/>
    <col min="23" max="23" width="7.85546875" customWidth="1"/>
    <col min="24" max="25" width="5" customWidth="1"/>
    <col min="26" max="26" width="5.28515625" customWidth="1"/>
    <col min="27" max="28" width="5.28515625" style="3" customWidth="1"/>
    <col min="29" max="29" width="7" style="2" customWidth="1"/>
    <col min="30" max="31" width="5.28515625" customWidth="1"/>
    <col min="32" max="32" width="5.42578125" customWidth="1"/>
    <col min="33" max="34" width="5.42578125" style="6" customWidth="1"/>
    <col min="35" max="35" width="7.5703125" style="2" customWidth="1"/>
    <col min="36" max="36" width="5.7109375" customWidth="1"/>
    <col min="37" max="40" width="5.28515625" customWidth="1"/>
    <col min="41" max="41" width="9.140625" customWidth="1"/>
    <col min="42" max="43" width="5.140625" customWidth="1"/>
    <col min="44" max="44" width="6.42578125" style="2" customWidth="1"/>
    <col min="45" max="45" width="6.140625" customWidth="1"/>
    <col min="46" max="46" width="9.140625" customWidth="1"/>
    <col min="47" max="47" width="4.7109375" customWidth="1"/>
    <col min="48" max="48" width="5.42578125" customWidth="1"/>
    <col min="49" max="55" width="9.140625" customWidth="1"/>
  </cols>
  <sheetData>
    <row r="1" spans="1:55">
      <c r="A1" t="s">
        <v>0</v>
      </c>
      <c r="E1" s="1" t="s">
        <v>1</v>
      </c>
      <c r="K1" s="2"/>
      <c r="Q1" s="4" t="s">
        <v>2</v>
      </c>
      <c r="W1" s="2"/>
      <c r="AO1" s="2"/>
      <c r="AW1" s="7"/>
      <c r="AX1" s="7"/>
      <c r="AY1" s="7"/>
      <c r="AZ1" s="7"/>
      <c r="BA1" s="7"/>
      <c r="BB1" s="7"/>
      <c r="BC1" s="7"/>
    </row>
    <row r="2" spans="1:55" ht="75">
      <c r="A2" s="8" t="s">
        <v>3</v>
      </c>
      <c r="B2" s="8"/>
      <c r="C2" s="8"/>
      <c r="D2" s="8"/>
      <c r="E2" s="9"/>
      <c r="F2" s="10" t="s">
        <v>4</v>
      </c>
      <c r="G2" s="11" t="s">
        <v>5</v>
      </c>
      <c r="H2" s="11"/>
      <c r="I2" s="11"/>
      <c r="J2" s="11"/>
      <c r="K2" s="12" t="s">
        <v>6</v>
      </c>
      <c r="L2" s="13"/>
      <c r="M2" s="14"/>
      <c r="N2" s="15" t="s">
        <v>7</v>
      </c>
      <c r="O2" s="15"/>
      <c r="P2" s="9"/>
      <c r="Q2" s="12" t="s">
        <v>8</v>
      </c>
      <c r="R2" s="13"/>
      <c r="S2" s="14"/>
      <c r="T2" s="16" t="s">
        <v>7</v>
      </c>
      <c r="U2" s="16"/>
      <c r="V2" s="17"/>
      <c r="W2" s="18" t="s">
        <v>9</v>
      </c>
      <c r="X2" s="19"/>
      <c r="Y2" s="19"/>
      <c r="Z2" s="19"/>
      <c r="AA2" s="15" t="s">
        <v>10</v>
      </c>
      <c r="AB2" s="15"/>
      <c r="AC2" s="20" t="s">
        <v>11</v>
      </c>
      <c r="AD2" s="14"/>
      <c r="AE2" s="14"/>
      <c r="AG2" s="21" t="s">
        <v>12</v>
      </c>
      <c r="AH2" s="21"/>
      <c r="AJ2" s="13" t="s">
        <v>11</v>
      </c>
      <c r="AK2" s="13"/>
      <c r="AM2" s="22" t="s">
        <v>12</v>
      </c>
      <c r="AN2" s="22"/>
      <c r="AO2" s="23"/>
      <c r="AP2" s="24" t="s">
        <v>8</v>
      </c>
      <c r="AQ2" s="24"/>
      <c r="AR2" s="9"/>
      <c r="AS2" s="9"/>
      <c r="AT2" s="25" t="s">
        <v>13</v>
      </c>
      <c r="AU2" s="26"/>
      <c r="AV2" s="26"/>
      <c r="AW2" s="7"/>
      <c r="AX2" s="7"/>
      <c r="AY2" s="7"/>
      <c r="AZ2" s="7"/>
      <c r="BA2" s="7"/>
      <c r="BB2" s="7"/>
      <c r="BC2" s="7"/>
    </row>
    <row r="3" spans="1:55">
      <c r="A3" s="27"/>
      <c r="B3" s="27"/>
      <c r="C3" s="27"/>
      <c r="D3" s="27"/>
      <c r="E3" s="28"/>
      <c r="F3" s="29" t="s">
        <v>14</v>
      </c>
      <c r="G3" s="27"/>
      <c r="H3" s="27"/>
      <c r="I3" s="27" t="s">
        <v>15</v>
      </c>
      <c r="J3" s="27"/>
      <c r="K3" s="692" t="s">
        <v>16</v>
      </c>
      <c r="L3" s="692"/>
      <c r="M3" s="692"/>
      <c r="N3" s="30"/>
      <c r="O3" s="30"/>
      <c r="P3" s="693" t="s">
        <v>17</v>
      </c>
      <c r="Q3" s="693"/>
      <c r="R3" s="693"/>
      <c r="S3" s="693"/>
      <c r="T3" s="693"/>
      <c r="U3" s="693"/>
      <c r="V3" s="693"/>
      <c r="W3" s="31" t="s">
        <v>18</v>
      </c>
      <c r="X3" s="32"/>
      <c r="Y3" s="32"/>
      <c r="Z3" s="32"/>
      <c r="AA3" s="33"/>
      <c r="AB3" s="33"/>
      <c r="AC3" s="31" t="s">
        <v>19</v>
      </c>
      <c r="AD3" s="32"/>
      <c r="AE3" s="32"/>
      <c r="AF3" s="32"/>
      <c r="AG3" s="34"/>
      <c r="AH3" s="34"/>
      <c r="AI3" s="31" t="s">
        <v>20</v>
      </c>
      <c r="AJ3" s="35"/>
      <c r="AK3" s="35"/>
      <c r="AL3" s="35"/>
      <c r="AM3" s="32"/>
      <c r="AN3" s="32"/>
      <c r="AO3" s="693" t="s">
        <v>21</v>
      </c>
      <c r="AP3" s="693"/>
      <c r="AQ3" s="693"/>
      <c r="AR3" s="28" t="s">
        <v>22</v>
      </c>
      <c r="AS3" s="28" t="s">
        <v>23</v>
      </c>
      <c r="AW3" s="36"/>
      <c r="AX3" s="36"/>
      <c r="AY3" s="36" t="s">
        <v>25</v>
      </c>
      <c r="AZ3" s="36"/>
      <c r="BA3" s="36" t="s">
        <v>25</v>
      </c>
      <c r="BB3" s="36"/>
      <c r="BC3" s="7"/>
    </row>
    <row r="4" spans="1:55" s="38" customFormat="1" ht="30.75" thickBot="1">
      <c r="A4" s="37" t="s">
        <v>26</v>
      </c>
      <c r="B4" s="37" t="s">
        <v>27</v>
      </c>
      <c r="C4" s="37" t="s">
        <v>28</v>
      </c>
      <c r="E4" s="39" t="s">
        <v>29</v>
      </c>
      <c r="F4" s="40" t="s">
        <v>30</v>
      </c>
      <c r="G4" s="37" t="s">
        <v>31</v>
      </c>
      <c r="H4" s="37" t="s">
        <v>32</v>
      </c>
      <c r="I4" s="37" t="s">
        <v>33</v>
      </c>
      <c r="J4" s="37" t="s">
        <v>34</v>
      </c>
      <c r="K4" s="39" t="s">
        <v>35</v>
      </c>
      <c r="L4" s="37" t="s">
        <v>36</v>
      </c>
      <c r="M4" s="41" t="s">
        <v>37</v>
      </c>
      <c r="N4" s="42" t="s">
        <v>39</v>
      </c>
      <c r="O4" s="42" t="s">
        <v>40</v>
      </c>
      <c r="P4" s="39" t="s">
        <v>41</v>
      </c>
      <c r="Q4" s="37" t="s">
        <v>35</v>
      </c>
      <c r="R4" s="37" t="s">
        <v>36</v>
      </c>
      <c r="S4" s="37" t="s">
        <v>37</v>
      </c>
      <c r="T4" s="40" t="s">
        <v>39</v>
      </c>
      <c r="U4" s="40" t="s">
        <v>40</v>
      </c>
      <c r="V4" s="37" t="s">
        <v>42</v>
      </c>
      <c r="W4" s="39" t="s">
        <v>43</v>
      </c>
      <c r="X4" s="37" t="s">
        <v>36</v>
      </c>
      <c r="Y4" s="37" t="s">
        <v>44</v>
      </c>
      <c r="Z4" s="37" t="s">
        <v>45</v>
      </c>
      <c r="AA4" s="42" t="s">
        <v>36</v>
      </c>
      <c r="AB4" s="42" t="s">
        <v>37</v>
      </c>
      <c r="AC4" s="39" t="s">
        <v>43</v>
      </c>
      <c r="AD4" s="37" t="s">
        <v>36</v>
      </c>
      <c r="AE4" s="37" t="s">
        <v>44</v>
      </c>
      <c r="AF4" s="38" t="s">
        <v>45</v>
      </c>
      <c r="AG4" s="43" t="s">
        <v>36</v>
      </c>
      <c r="AH4" s="43" t="s">
        <v>44</v>
      </c>
      <c r="AI4" s="44" t="s">
        <v>43</v>
      </c>
      <c r="AJ4" s="45" t="s">
        <v>36</v>
      </c>
      <c r="AK4" s="45" t="s">
        <v>37</v>
      </c>
      <c r="AL4" s="45" t="s">
        <v>45</v>
      </c>
      <c r="AM4" s="45" t="s">
        <v>36</v>
      </c>
      <c r="AN4" s="45" t="s">
        <v>37</v>
      </c>
      <c r="AO4" s="39" t="s">
        <v>35</v>
      </c>
      <c r="AP4" s="37" t="s">
        <v>36</v>
      </c>
      <c r="AQ4" s="37" t="s">
        <v>37</v>
      </c>
      <c r="AR4" s="39" t="s">
        <v>24</v>
      </c>
      <c r="AS4" s="39" t="s">
        <v>24</v>
      </c>
      <c r="AT4" s="39" t="s">
        <v>46</v>
      </c>
      <c r="AU4" s="37"/>
      <c r="AV4" s="37"/>
      <c r="AW4" s="37" t="s">
        <v>47</v>
      </c>
      <c r="AX4" s="37" t="s">
        <v>48</v>
      </c>
      <c r="AY4" s="37" t="s">
        <v>49</v>
      </c>
      <c r="AZ4" s="37" t="s">
        <v>50</v>
      </c>
      <c r="BA4" s="37" t="s">
        <v>51</v>
      </c>
      <c r="BB4" s="37" t="s">
        <v>52</v>
      </c>
      <c r="BC4" s="46"/>
    </row>
    <row r="6" spans="1:55" ht="30.75" thickBot="1">
      <c r="A6" s="47" t="s">
        <v>53</v>
      </c>
      <c r="B6" s="48"/>
      <c r="C6" s="48"/>
      <c r="D6" s="37" t="s">
        <v>54</v>
      </c>
      <c r="E6" s="2"/>
      <c r="F6" s="49"/>
      <c r="K6" s="2"/>
      <c r="L6" s="3"/>
      <c r="Q6" s="50"/>
      <c r="W6" s="2"/>
      <c r="AO6" s="2"/>
      <c r="AW6" s="7"/>
      <c r="AX6" s="7"/>
      <c r="AY6" s="7"/>
      <c r="AZ6" s="7"/>
      <c r="BA6" s="7"/>
      <c r="BB6" s="7"/>
      <c r="BC6" s="7"/>
    </row>
    <row r="7" spans="1:55">
      <c r="A7" t="s">
        <v>55</v>
      </c>
      <c r="B7" s="51">
        <v>-9.9</v>
      </c>
      <c r="C7" t="s">
        <v>56</v>
      </c>
      <c r="D7" t="s">
        <v>57</v>
      </c>
      <c r="E7" s="52">
        <v>0.45500000000000002</v>
      </c>
      <c r="F7" s="49">
        <v>26.3</v>
      </c>
      <c r="G7" t="s">
        <v>58</v>
      </c>
      <c r="H7">
        <v>29.7</v>
      </c>
      <c r="I7">
        <v>48.6</v>
      </c>
      <c r="J7">
        <v>85.5</v>
      </c>
      <c r="K7" s="2" t="s">
        <v>59</v>
      </c>
      <c r="L7" s="3">
        <v>178</v>
      </c>
      <c r="M7">
        <v>46</v>
      </c>
      <c r="N7" s="3">
        <v>285.39999999999998</v>
      </c>
      <c r="O7" s="3">
        <v>36.299999999999997</v>
      </c>
      <c r="P7" s="2">
        <v>5</v>
      </c>
      <c r="V7" t="s">
        <v>60</v>
      </c>
      <c r="W7" s="2" t="s">
        <v>61</v>
      </c>
      <c r="X7">
        <v>263</v>
      </c>
      <c r="Y7">
        <v>-37</v>
      </c>
      <c r="AA7" s="3">
        <v>188</v>
      </c>
      <c r="AB7" s="3">
        <v>-29.8</v>
      </c>
      <c r="AC7" s="2" t="s">
        <v>62</v>
      </c>
      <c r="AD7" s="53">
        <v>236</v>
      </c>
      <c r="AE7" s="53">
        <v>-27</v>
      </c>
      <c r="AF7" t="s">
        <v>63</v>
      </c>
      <c r="AG7" s="6">
        <v>201.9</v>
      </c>
      <c r="AH7" s="6">
        <v>-8.6</v>
      </c>
      <c r="AO7" s="54" t="s">
        <v>64</v>
      </c>
      <c r="AP7">
        <v>150</v>
      </c>
      <c r="AQ7">
        <v>-24</v>
      </c>
      <c r="AR7" s="2" t="s">
        <v>65</v>
      </c>
      <c r="AS7" t="s">
        <v>66</v>
      </c>
      <c r="AT7" t="s">
        <v>67</v>
      </c>
      <c r="AU7" s="55"/>
      <c r="AV7" s="56"/>
      <c r="AW7" s="7"/>
      <c r="AX7">
        <v>79.5</v>
      </c>
      <c r="AY7" s="7">
        <v>5.8</v>
      </c>
      <c r="AZ7" s="7">
        <v>-61.2</v>
      </c>
      <c r="BA7" s="7"/>
      <c r="BB7" s="7"/>
    </row>
    <row r="8" spans="1:55">
      <c r="A8" t="s">
        <v>70</v>
      </c>
      <c r="B8" s="51">
        <v>-8.9699999999999989</v>
      </c>
      <c r="C8" t="s">
        <v>71</v>
      </c>
      <c r="D8" t="s">
        <v>72</v>
      </c>
      <c r="E8" s="57">
        <v>0.872</v>
      </c>
      <c r="F8" s="49">
        <v>10.7</v>
      </c>
      <c r="G8" s="58" t="s">
        <v>73</v>
      </c>
      <c r="H8">
        <v>24.74</v>
      </c>
      <c r="I8">
        <v>48.6</v>
      </c>
      <c r="J8">
        <v>85.5</v>
      </c>
      <c r="K8" s="2"/>
      <c r="L8" s="3"/>
      <c r="P8" s="2">
        <v>3</v>
      </c>
      <c r="Q8" t="s">
        <v>74</v>
      </c>
      <c r="R8">
        <v>62</v>
      </c>
      <c r="S8">
        <v>-46</v>
      </c>
      <c r="T8" s="5">
        <v>95.8</v>
      </c>
      <c r="U8" s="5">
        <v>6</v>
      </c>
      <c r="V8" t="s">
        <v>75</v>
      </c>
      <c r="W8" s="2"/>
      <c r="AC8" s="2" t="s">
        <v>76</v>
      </c>
      <c r="AD8">
        <v>95</v>
      </c>
      <c r="AE8">
        <v>-23</v>
      </c>
      <c r="AF8" t="s">
        <v>40</v>
      </c>
      <c r="AG8" s="6">
        <v>83.4</v>
      </c>
      <c r="AH8" s="6">
        <v>39.299999999999997</v>
      </c>
      <c r="AI8" s="2" t="s">
        <v>77</v>
      </c>
      <c r="AJ8" s="53">
        <v>54</v>
      </c>
      <c r="AK8" s="53">
        <v>-57</v>
      </c>
      <c r="AL8" s="53" t="s">
        <v>40</v>
      </c>
      <c r="AM8" s="53">
        <v>105.8</v>
      </c>
      <c r="AN8" s="53">
        <v>-1</v>
      </c>
      <c r="AO8" s="54" t="s">
        <v>78</v>
      </c>
      <c r="AP8" s="53">
        <v>188</v>
      </c>
      <c r="AQ8" s="53">
        <v>-24</v>
      </c>
      <c r="AR8" s="2" t="s">
        <v>65</v>
      </c>
      <c r="AS8" t="s">
        <v>66</v>
      </c>
      <c r="AT8" t="s">
        <v>79</v>
      </c>
      <c r="AU8" s="59"/>
      <c r="AV8" s="60"/>
      <c r="AW8" s="7"/>
      <c r="AX8">
        <v>76.099999999999994</v>
      </c>
      <c r="AY8" s="7">
        <v>352.9</v>
      </c>
      <c r="AZ8" s="7">
        <v>-65.2</v>
      </c>
      <c r="BA8" s="7"/>
      <c r="BB8" s="7"/>
    </row>
    <row r="9" spans="1:55">
      <c r="A9" t="s">
        <v>80</v>
      </c>
      <c r="B9" s="51">
        <v>-7.97</v>
      </c>
      <c r="C9" t="str">
        <f>'[1]BQ ms'!G13</f>
        <v>pale brown sst</v>
      </c>
      <c r="D9">
        <v>350</v>
      </c>
      <c r="E9" s="57">
        <v>0.14660000000000001</v>
      </c>
      <c r="F9" s="49">
        <v>23.7</v>
      </c>
      <c r="G9" s="58" t="s">
        <v>81</v>
      </c>
      <c r="I9">
        <v>49.6</v>
      </c>
      <c r="J9">
        <v>86</v>
      </c>
      <c r="K9" s="2" t="s">
        <v>59</v>
      </c>
      <c r="L9" s="3">
        <v>138</v>
      </c>
      <c r="M9">
        <v>68</v>
      </c>
      <c r="N9" s="3">
        <v>320.3</v>
      </c>
      <c r="O9" s="3">
        <v>26</v>
      </c>
      <c r="P9" s="2">
        <v>2</v>
      </c>
      <c r="Q9" s="4" t="s">
        <v>82</v>
      </c>
      <c r="R9">
        <v>83</v>
      </c>
      <c r="S9">
        <v>-68</v>
      </c>
      <c r="T9" s="5">
        <v>121.2</v>
      </c>
      <c r="U9" s="5">
        <v>8.1</v>
      </c>
      <c r="V9" t="s">
        <v>83</v>
      </c>
      <c r="W9" s="2"/>
      <c r="AC9" s="2" t="s">
        <v>84</v>
      </c>
      <c r="AD9">
        <v>159</v>
      </c>
      <c r="AE9">
        <v>-20</v>
      </c>
      <c r="AF9" t="s">
        <v>40</v>
      </c>
      <c r="AG9" s="6">
        <v>177.4</v>
      </c>
      <c r="AH9" s="6">
        <v>59.4</v>
      </c>
      <c r="AJ9" s="53"/>
      <c r="AK9" s="53"/>
      <c r="AL9" s="53"/>
      <c r="AM9" s="53"/>
      <c r="AN9" s="53"/>
      <c r="AO9" s="54" t="s">
        <v>85</v>
      </c>
      <c r="AP9" s="53">
        <v>19</v>
      </c>
      <c r="AQ9" s="53">
        <v>11</v>
      </c>
      <c r="AR9" s="2" t="s">
        <v>86</v>
      </c>
      <c r="AS9" t="s">
        <v>87</v>
      </c>
      <c r="AT9" t="s">
        <v>88</v>
      </c>
      <c r="AU9" s="59"/>
      <c r="AV9" s="60"/>
      <c r="AW9" s="7"/>
      <c r="AX9">
        <v>58.5</v>
      </c>
      <c r="AY9" s="7">
        <v>327.10000000000002</v>
      </c>
      <c r="AZ9" s="7">
        <v>-72.5</v>
      </c>
      <c r="BA9" s="7"/>
      <c r="BB9" s="7"/>
    </row>
    <row r="10" spans="1:55">
      <c r="A10" t="s">
        <v>89</v>
      </c>
      <c r="B10" s="51">
        <v>-7.4499999999999993</v>
      </c>
      <c r="C10" t="str">
        <f>'[1]BQ ms'!G14</f>
        <v>grey sst</v>
      </c>
      <c r="D10" t="s">
        <v>90</v>
      </c>
      <c r="E10" s="57">
        <v>9.8000000000000004E-2</v>
      </c>
      <c r="F10" s="49">
        <v>16</v>
      </c>
      <c r="G10" t="s">
        <v>91</v>
      </c>
      <c r="H10">
        <v>24.31</v>
      </c>
      <c r="I10">
        <v>49.6</v>
      </c>
      <c r="J10">
        <v>86</v>
      </c>
      <c r="K10" s="2" t="s">
        <v>92</v>
      </c>
      <c r="L10" s="3">
        <v>113</v>
      </c>
      <c r="M10">
        <v>20</v>
      </c>
      <c r="N10" s="3">
        <v>15.7</v>
      </c>
      <c r="O10" s="3">
        <v>59.5</v>
      </c>
      <c r="P10" s="2">
        <v>2</v>
      </c>
      <c r="U10" s="5" t="s">
        <v>69</v>
      </c>
      <c r="V10" t="s">
        <v>93</v>
      </c>
      <c r="W10" s="2" t="s">
        <v>94</v>
      </c>
      <c r="X10">
        <v>269</v>
      </c>
      <c r="Y10">
        <v>-41</v>
      </c>
      <c r="AA10" s="3">
        <v>182.8</v>
      </c>
      <c r="AB10" s="3">
        <v>-31.6</v>
      </c>
      <c r="AC10" s="2" t="s">
        <v>95</v>
      </c>
      <c r="AD10" s="53">
        <v>143</v>
      </c>
      <c r="AE10" s="53">
        <v>-17</v>
      </c>
      <c r="AF10" s="61" t="s">
        <v>96</v>
      </c>
      <c r="AG10" s="6">
        <v>148.6</v>
      </c>
      <c r="AH10" s="6">
        <v>68.7</v>
      </c>
      <c r="AO10" s="54"/>
      <c r="AR10" s="2" t="s">
        <v>63</v>
      </c>
      <c r="AT10" t="s">
        <v>97</v>
      </c>
      <c r="AU10" s="59"/>
      <c r="AV10" s="60"/>
      <c r="AW10" s="7"/>
      <c r="AX10" s="62"/>
      <c r="AY10" s="7"/>
      <c r="AZ10" s="7"/>
      <c r="BA10" s="7"/>
      <c r="BB10" s="7"/>
    </row>
    <row r="11" spans="1:55">
      <c r="A11" t="s">
        <v>98</v>
      </c>
      <c r="B11" s="51">
        <v>-7.4499999999999993</v>
      </c>
      <c r="C11" t="str">
        <f>C10</f>
        <v>grey sst</v>
      </c>
      <c r="D11">
        <v>400</v>
      </c>
      <c r="E11" s="57">
        <v>0.1691</v>
      </c>
      <c r="F11" s="49">
        <v>20.100000000000001</v>
      </c>
      <c r="G11" t="s">
        <v>99</v>
      </c>
      <c r="I11">
        <v>49.6</v>
      </c>
      <c r="J11">
        <v>86</v>
      </c>
      <c r="K11" s="2" t="s">
        <v>92</v>
      </c>
      <c r="L11" s="3">
        <v>123</v>
      </c>
      <c r="M11">
        <v>-26</v>
      </c>
      <c r="N11" s="3">
        <v>112.3</v>
      </c>
      <c r="O11" s="3">
        <v>56</v>
      </c>
      <c r="P11" s="2">
        <v>2.5</v>
      </c>
      <c r="U11" s="5" t="s">
        <v>69</v>
      </c>
      <c r="V11" t="s">
        <v>100</v>
      </c>
      <c r="W11" s="2" t="s">
        <v>101</v>
      </c>
      <c r="X11">
        <v>269</v>
      </c>
      <c r="Y11">
        <v>-43</v>
      </c>
      <c r="AA11" s="3">
        <v>180.7</v>
      </c>
      <c r="AB11" s="3">
        <v>-30.7</v>
      </c>
      <c r="AD11" s="53"/>
      <c r="AE11" s="53"/>
      <c r="AF11" s="7"/>
      <c r="AI11" s="2" t="s">
        <v>102</v>
      </c>
      <c r="AJ11">
        <v>115</v>
      </c>
      <c r="AK11">
        <v>18</v>
      </c>
      <c r="AL11" t="s">
        <v>103</v>
      </c>
      <c r="AM11">
        <v>17.5</v>
      </c>
      <c r="AN11">
        <v>62.2</v>
      </c>
      <c r="AO11" s="54" t="s">
        <v>104</v>
      </c>
      <c r="AP11">
        <v>41</v>
      </c>
      <c r="AQ11">
        <v>-31</v>
      </c>
      <c r="AR11" s="2" t="s">
        <v>105</v>
      </c>
      <c r="AS11" t="s">
        <v>106</v>
      </c>
      <c r="AT11" t="s">
        <v>107</v>
      </c>
      <c r="AU11" s="59"/>
      <c r="AV11" s="60"/>
      <c r="AW11" s="7"/>
      <c r="AX11">
        <v>22.8</v>
      </c>
      <c r="AY11" s="7">
        <v>280.8</v>
      </c>
      <c r="AZ11" s="7">
        <v>-39.9</v>
      </c>
      <c r="BA11" s="7"/>
      <c r="BB11" s="7"/>
    </row>
    <row r="12" spans="1:55">
      <c r="A12" t="s">
        <v>108</v>
      </c>
      <c r="B12" s="51">
        <v>-6.68</v>
      </c>
      <c r="C12" t="s">
        <v>109</v>
      </c>
      <c r="D12" t="s">
        <v>57</v>
      </c>
      <c r="E12" s="57">
        <v>0.27600000000000002</v>
      </c>
      <c r="F12" s="49">
        <v>38.1</v>
      </c>
      <c r="G12" t="s">
        <v>110</v>
      </c>
      <c r="H12">
        <v>25.5</v>
      </c>
      <c r="I12">
        <v>48.6</v>
      </c>
      <c r="J12">
        <v>85.5</v>
      </c>
      <c r="K12" s="2" t="s">
        <v>59</v>
      </c>
      <c r="L12" s="63">
        <v>87</v>
      </c>
      <c r="M12">
        <v>27</v>
      </c>
      <c r="N12" s="3">
        <v>18.2</v>
      </c>
      <c r="O12" s="3">
        <v>36</v>
      </c>
      <c r="P12" s="2">
        <v>2</v>
      </c>
      <c r="Q12" s="63" t="s">
        <v>111</v>
      </c>
      <c r="R12" s="53">
        <v>201</v>
      </c>
      <c r="S12" s="53">
        <v>56</v>
      </c>
      <c r="T12" s="5">
        <v>287</v>
      </c>
      <c r="U12" s="5">
        <v>18.899999999999999</v>
      </c>
      <c r="W12" s="2" t="s">
        <v>112</v>
      </c>
      <c r="X12" s="53">
        <v>279</v>
      </c>
      <c r="Y12" s="53">
        <v>-55</v>
      </c>
      <c r="Z12" s="53"/>
      <c r="AA12" s="3">
        <v>163.69999999999999</v>
      </c>
      <c r="AB12" s="3">
        <v>-30.3</v>
      </c>
      <c r="AO12" s="54"/>
      <c r="AR12" s="2" t="s">
        <v>113</v>
      </c>
      <c r="AT12" t="s">
        <v>114</v>
      </c>
      <c r="AU12" s="64"/>
      <c r="AV12" s="60"/>
      <c r="AW12" s="7">
        <v>-70.900000000000006</v>
      </c>
      <c r="AX12" s="62"/>
      <c r="AY12" s="7"/>
      <c r="AZ12" s="7"/>
      <c r="BA12" s="7"/>
      <c r="BB12" s="7"/>
    </row>
    <row r="13" spans="1:55">
      <c r="A13" t="s">
        <v>115</v>
      </c>
      <c r="B13" s="51">
        <v>-5.9499999999999993</v>
      </c>
      <c r="C13" t="s">
        <v>116</v>
      </c>
      <c r="D13" t="s">
        <v>117</v>
      </c>
      <c r="E13" s="57">
        <v>0.20399999999999999</v>
      </c>
      <c r="F13" s="49">
        <v>42.1</v>
      </c>
      <c r="G13" t="s">
        <v>118</v>
      </c>
      <c r="H13">
        <v>22.63</v>
      </c>
      <c r="I13">
        <v>47.6</v>
      </c>
      <c r="J13">
        <v>85</v>
      </c>
      <c r="K13" s="2" t="s">
        <v>119</v>
      </c>
      <c r="L13" s="63">
        <v>132</v>
      </c>
      <c r="M13">
        <v>21</v>
      </c>
      <c r="N13" s="3">
        <v>335.9</v>
      </c>
      <c r="O13" s="3">
        <v>73.099999999999994</v>
      </c>
      <c r="P13" s="2">
        <v>2</v>
      </c>
      <c r="Q13" s="63" t="s">
        <v>120</v>
      </c>
      <c r="R13" s="53">
        <v>211</v>
      </c>
      <c r="S13" s="53">
        <v>14</v>
      </c>
      <c r="T13" s="5">
        <v>240.7</v>
      </c>
      <c r="U13" s="5">
        <v>17.3</v>
      </c>
      <c r="V13" t="s">
        <v>121</v>
      </c>
      <c r="W13" s="2" t="s">
        <v>122</v>
      </c>
      <c r="X13">
        <v>243</v>
      </c>
      <c r="Y13">
        <v>-31</v>
      </c>
      <c r="AA13" s="3">
        <v>196.8</v>
      </c>
      <c r="AB13" s="3">
        <v>-15.8</v>
      </c>
      <c r="AO13" s="54" t="s">
        <v>104</v>
      </c>
      <c r="AP13">
        <v>298</v>
      </c>
      <c r="AQ13">
        <v>50</v>
      </c>
      <c r="AR13" s="2" t="s">
        <v>105</v>
      </c>
      <c r="AS13" t="s">
        <v>106</v>
      </c>
      <c r="AT13" t="s">
        <v>123</v>
      </c>
      <c r="AU13" s="64"/>
      <c r="AV13" s="60"/>
      <c r="AW13" s="7"/>
      <c r="AX13">
        <v>-67.099999999999994</v>
      </c>
      <c r="AY13" s="7">
        <f>340.1-180</f>
        <v>160.10000000000002</v>
      </c>
      <c r="AZ13" s="7">
        <v>31.9</v>
      </c>
      <c r="BA13" s="7"/>
      <c r="BB13" s="7"/>
    </row>
    <row r="14" spans="1:55">
      <c r="A14" t="s">
        <v>124</v>
      </c>
      <c r="B14" s="65">
        <v>-4.6999999999999993</v>
      </c>
      <c r="C14" t="s">
        <v>125</v>
      </c>
      <c r="D14" t="s">
        <v>90</v>
      </c>
      <c r="E14" s="57">
        <v>0.19900000000000001</v>
      </c>
      <c r="F14" s="49">
        <v>23.9</v>
      </c>
      <c r="G14" t="s">
        <v>126</v>
      </c>
      <c r="H14">
        <v>21.78</v>
      </c>
      <c r="I14">
        <v>48.6</v>
      </c>
      <c r="J14">
        <v>85.5</v>
      </c>
      <c r="K14" s="2" t="s">
        <v>85</v>
      </c>
      <c r="L14" s="63">
        <v>112</v>
      </c>
      <c r="M14">
        <v>5</v>
      </c>
      <c r="N14" s="3">
        <v>46.4</v>
      </c>
      <c r="O14" s="3">
        <v>63.5</v>
      </c>
      <c r="P14" s="2">
        <v>2</v>
      </c>
      <c r="U14" s="5" t="s">
        <v>69</v>
      </c>
      <c r="V14" t="s">
        <v>127</v>
      </c>
      <c r="W14" s="2" t="s">
        <v>128</v>
      </c>
      <c r="X14">
        <v>215</v>
      </c>
      <c r="Y14">
        <v>-32</v>
      </c>
      <c r="AA14" s="3">
        <v>195.2</v>
      </c>
      <c r="AB14" s="3">
        <v>9</v>
      </c>
      <c r="AC14" s="2" t="s">
        <v>129</v>
      </c>
      <c r="AD14" s="53">
        <v>137</v>
      </c>
      <c r="AE14" s="53">
        <v>-44</v>
      </c>
      <c r="AF14" s="61" t="s">
        <v>96</v>
      </c>
      <c r="AG14" s="6">
        <v>137.1</v>
      </c>
      <c r="AH14" s="6">
        <v>41.5</v>
      </c>
      <c r="AO14" s="54" t="s">
        <v>130</v>
      </c>
      <c r="AP14">
        <v>263</v>
      </c>
      <c r="AQ14">
        <v>-48</v>
      </c>
      <c r="AR14" s="2" t="s">
        <v>105</v>
      </c>
      <c r="AS14" t="s">
        <v>106</v>
      </c>
      <c r="AT14" t="s">
        <v>88</v>
      </c>
      <c r="AU14" s="59"/>
      <c r="AV14" s="60"/>
      <c r="AW14" s="7"/>
      <c r="AX14">
        <v>56.1</v>
      </c>
      <c r="AY14" s="7">
        <v>28.6</v>
      </c>
      <c r="AZ14" s="7">
        <v>-27.6</v>
      </c>
      <c r="BA14" s="7"/>
      <c r="BB14" s="7"/>
    </row>
    <row r="15" spans="1:55">
      <c r="A15" t="s">
        <v>131</v>
      </c>
      <c r="B15" s="65">
        <v>-4.6999999999999993</v>
      </c>
      <c r="C15" t="s">
        <v>132</v>
      </c>
      <c r="D15" t="s">
        <v>57</v>
      </c>
      <c r="E15" s="57">
        <v>0.19600000000000001</v>
      </c>
      <c r="F15" s="49">
        <v>35.1</v>
      </c>
      <c r="G15" t="s">
        <v>118</v>
      </c>
      <c r="H15">
        <v>27.24</v>
      </c>
      <c r="I15">
        <v>48.6</v>
      </c>
      <c r="J15">
        <v>85.5</v>
      </c>
      <c r="K15" s="2" t="s">
        <v>133</v>
      </c>
      <c r="L15" s="63">
        <v>112</v>
      </c>
      <c r="M15">
        <v>7</v>
      </c>
      <c r="N15" s="3">
        <v>41.9</v>
      </c>
      <c r="O15" s="3">
        <v>63.4</v>
      </c>
      <c r="P15" s="2">
        <v>4</v>
      </c>
      <c r="Q15" s="63"/>
      <c r="U15" s="5" t="s">
        <v>69</v>
      </c>
      <c r="V15" t="s">
        <v>134</v>
      </c>
      <c r="W15" s="2" t="s">
        <v>135</v>
      </c>
      <c r="X15">
        <v>225</v>
      </c>
      <c r="Y15">
        <v>-39</v>
      </c>
      <c r="AA15" s="3">
        <v>189.5</v>
      </c>
      <c r="AB15" s="3">
        <v>0</v>
      </c>
      <c r="AC15" s="54" t="s">
        <v>111</v>
      </c>
      <c r="AD15" s="53">
        <v>70</v>
      </c>
      <c r="AE15" s="53">
        <v>22</v>
      </c>
      <c r="AF15" t="s">
        <v>136</v>
      </c>
      <c r="AG15" s="6">
        <v>26.7</v>
      </c>
      <c r="AH15" s="6">
        <v>21.5</v>
      </c>
      <c r="AO15" s="2"/>
      <c r="AR15" s="2" t="s">
        <v>137</v>
      </c>
      <c r="AT15" t="s">
        <v>138</v>
      </c>
      <c r="AU15" s="59"/>
      <c r="AV15" s="60"/>
      <c r="AW15" s="7"/>
      <c r="AX15" s="62"/>
      <c r="AY15" s="7"/>
      <c r="AZ15" s="7"/>
      <c r="BA15" s="7"/>
      <c r="BB15" s="7"/>
    </row>
    <row r="16" spans="1:55">
      <c r="A16" t="s">
        <v>139</v>
      </c>
      <c r="B16" s="66">
        <v>-4.6999999999999993</v>
      </c>
      <c r="C16" t="str">
        <f>C15</f>
        <v>gr-orag sst</v>
      </c>
      <c r="D16">
        <v>400</v>
      </c>
      <c r="E16" s="57">
        <v>0.16800000000000001</v>
      </c>
      <c r="F16" s="49">
        <v>32</v>
      </c>
      <c r="G16" t="s">
        <v>140</v>
      </c>
      <c r="I16">
        <v>48.6</v>
      </c>
      <c r="J16">
        <v>85.5</v>
      </c>
      <c r="K16" s="2" t="s">
        <v>133</v>
      </c>
      <c r="L16" s="63">
        <v>113</v>
      </c>
      <c r="M16">
        <v>10</v>
      </c>
      <c r="N16" s="3">
        <v>34.9</v>
      </c>
      <c r="O16" s="3">
        <v>64</v>
      </c>
      <c r="P16" s="2">
        <v>2</v>
      </c>
      <c r="Q16" s="63" t="s">
        <v>141</v>
      </c>
      <c r="R16">
        <v>66</v>
      </c>
      <c r="S16">
        <v>-4</v>
      </c>
      <c r="T16" s="5">
        <v>54.2</v>
      </c>
      <c r="U16" s="5">
        <v>17</v>
      </c>
      <c r="V16" t="s">
        <v>142</v>
      </c>
      <c r="W16" s="2" t="s">
        <v>143</v>
      </c>
      <c r="X16">
        <v>245</v>
      </c>
      <c r="Y16">
        <v>-40</v>
      </c>
      <c r="AA16" s="3">
        <v>188.3</v>
      </c>
      <c r="AB16" s="3">
        <v>-15.4</v>
      </c>
      <c r="AC16" s="54"/>
      <c r="AD16" s="53"/>
      <c r="AE16" s="53"/>
      <c r="AO16" s="54" t="s">
        <v>78</v>
      </c>
      <c r="AP16">
        <v>159</v>
      </c>
      <c r="AQ16">
        <v>-5</v>
      </c>
      <c r="AR16" s="2" t="s">
        <v>105</v>
      </c>
      <c r="AS16" t="s">
        <v>66</v>
      </c>
      <c r="AT16" t="s">
        <v>67</v>
      </c>
      <c r="AU16" s="59"/>
      <c r="AV16" s="60"/>
      <c r="AW16" s="7"/>
      <c r="AX16">
        <v>47.2</v>
      </c>
      <c r="AY16" s="7">
        <v>47.9</v>
      </c>
      <c r="AZ16" s="7">
        <v>-76.3</v>
      </c>
      <c r="BA16" s="7"/>
      <c r="BB16" s="7"/>
    </row>
    <row r="17" spans="1:55">
      <c r="A17" t="s">
        <v>144</v>
      </c>
      <c r="B17" s="51">
        <v>-4.3899999999999997</v>
      </c>
      <c r="C17" t="str">
        <f>'[1]BQ ms'!G25</f>
        <v>sst</v>
      </c>
      <c r="D17" t="s">
        <v>90</v>
      </c>
      <c r="E17" s="57">
        <v>0.248</v>
      </c>
      <c r="F17" s="49">
        <v>47.2</v>
      </c>
      <c r="G17" t="s">
        <v>145</v>
      </c>
      <c r="H17">
        <v>26.69</v>
      </c>
      <c r="I17">
        <v>48.6</v>
      </c>
      <c r="J17">
        <v>85.5</v>
      </c>
      <c r="K17" s="2" t="s">
        <v>119</v>
      </c>
      <c r="L17" s="63">
        <v>141</v>
      </c>
      <c r="M17">
        <v>7</v>
      </c>
      <c r="N17" s="3">
        <v>275</v>
      </c>
      <c r="O17" s="3">
        <v>86.5</v>
      </c>
      <c r="P17" s="2">
        <v>1</v>
      </c>
      <c r="Q17" s="63" t="s">
        <v>146</v>
      </c>
      <c r="R17" s="53">
        <v>109</v>
      </c>
      <c r="S17" s="53">
        <v>69</v>
      </c>
      <c r="T17" s="67">
        <v>329.7</v>
      </c>
      <c r="U17" s="67">
        <v>22.6</v>
      </c>
      <c r="W17" s="2" t="s">
        <v>147</v>
      </c>
      <c r="X17">
        <v>225</v>
      </c>
      <c r="Y17">
        <v>-52</v>
      </c>
      <c r="AA17" s="3">
        <v>176.5</v>
      </c>
      <c r="AB17" s="3">
        <v>-1.3</v>
      </c>
      <c r="AO17" s="54" t="s">
        <v>148</v>
      </c>
      <c r="AR17" s="2" t="s">
        <v>105</v>
      </c>
      <c r="AT17" t="s">
        <v>149</v>
      </c>
      <c r="AU17" s="64"/>
      <c r="AV17" s="60"/>
      <c r="AW17" s="7"/>
      <c r="AX17" s="62"/>
      <c r="AY17" s="7"/>
      <c r="AZ17" s="7"/>
      <c r="BA17" s="7"/>
      <c r="BB17" s="7"/>
    </row>
    <row r="18" spans="1:55">
      <c r="A18" t="s">
        <v>150</v>
      </c>
      <c r="B18" s="51">
        <v>-3.6499999999999995</v>
      </c>
      <c r="C18" t="s">
        <v>151</v>
      </c>
      <c r="D18" t="s">
        <v>90</v>
      </c>
      <c r="E18" s="57">
        <v>9.5000000000000001E-2</v>
      </c>
      <c r="F18" s="49">
        <v>37.700000000000003</v>
      </c>
      <c r="G18" t="s">
        <v>152</v>
      </c>
      <c r="H18">
        <v>24.17</v>
      </c>
      <c r="I18">
        <v>48.6</v>
      </c>
      <c r="J18">
        <v>85.5</v>
      </c>
      <c r="K18" s="2" t="s">
        <v>59</v>
      </c>
      <c r="L18" s="63">
        <v>93</v>
      </c>
      <c r="M18">
        <v>31</v>
      </c>
      <c r="N18" s="3">
        <v>11.3</v>
      </c>
      <c r="O18" s="3">
        <v>39.700000000000003</v>
      </c>
      <c r="P18" s="2">
        <v>2.5</v>
      </c>
      <c r="Q18" s="63" t="s">
        <v>146</v>
      </c>
      <c r="R18" s="53">
        <v>145</v>
      </c>
      <c r="S18" s="53">
        <v>45</v>
      </c>
      <c r="T18" s="67">
        <v>311.7</v>
      </c>
      <c r="U18" s="67">
        <v>49.1</v>
      </c>
      <c r="V18" t="s">
        <v>60</v>
      </c>
      <c r="W18" s="2" t="s">
        <v>147</v>
      </c>
      <c r="X18">
        <v>259</v>
      </c>
      <c r="Y18">
        <v>-16</v>
      </c>
      <c r="AA18" s="3">
        <v>212.7</v>
      </c>
      <c r="AB18" s="3">
        <v>-30.4</v>
      </c>
      <c r="AO18" s="54" t="s">
        <v>104</v>
      </c>
      <c r="AP18">
        <v>314</v>
      </c>
      <c r="AQ18">
        <v>49</v>
      </c>
      <c r="AR18" s="2" t="s">
        <v>113</v>
      </c>
      <c r="AS18" t="s">
        <v>66</v>
      </c>
      <c r="AT18" t="s">
        <v>114</v>
      </c>
      <c r="AU18" s="64"/>
      <c r="AV18" s="60"/>
      <c r="AW18" s="7">
        <v>-60.9</v>
      </c>
      <c r="AX18" s="51"/>
      <c r="AY18" s="66"/>
      <c r="AZ18" s="66"/>
      <c r="BA18" s="66"/>
      <c r="BB18" s="66"/>
    </row>
    <row r="19" spans="1:55">
      <c r="A19" t="s">
        <v>153</v>
      </c>
      <c r="B19" s="51">
        <v>-2.8499999999999996</v>
      </c>
      <c r="C19" t="s">
        <v>154</v>
      </c>
      <c r="D19" t="s">
        <v>57</v>
      </c>
      <c r="E19" s="57">
        <v>0.106</v>
      </c>
      <c r="F19" s="49">
        <v>49</v>
      </c>
      <c r="G19" t="s">
        <v>155</v>
      </c>
      <c r="H19">
        <v>28.11</v>
      </c>
      <c r="I19">
        <v>58.6</v>
      </c>
      <c r="J19">
        <v>89</v>
      </c>
      <c r="K19" s="2" t="s">
        <v>119</v>
      </c>
      <c r="L19" s="63">
        <v>120</v>
      </c>
      <c r="M19">
        <v>22</v>
      </c>
      <c r="N19" s="3">
        <v>19.5</v>
      </c>
      <c r="O19" s="3">
        <v>55.1</v>
      </c>
      <c r="P19" s="2">
        <v>2.2000000000000002</v>
      </c>
      <c r="U19" s="5" t="s">
        <v>69</v>
      </c>
      <c r="V19" t="s">
        <v>156</v>
      </c>
      <c r="W19" s="2" t="s">
        <v>122</v>
      </c>
      <c r="X19">
        <v>313</v>
      </c>
      <c r="Y19">
        <v>-68</v>
      </c>
      <c r="AA19" s="3">
        <v>154.80000000000001</v>
      </c>
      <c r="AB19" s="3">
        <v>-22.1</v>
      </c>
      <c r="AC19" s="2" t="s">
        <v>157</v>
      </c>
      <c r="AD19" s="53">
        <v>259</v>
      </c>
      <c r="AE19" s="53">
        <v>-19</v>
      </c>
      <c r="AF19" t="s">
        <v>63</v>
      </c>
      <c r="AG19" s="6">
        <v>218.8</v>
      </c>
      <c r="AH19" s="6">
        <v>-19.600000000000001</v>
      </c>
      <c r="AO19" s="54" t="s">
        <v>158</v>
      </c>
      <c r="AP19">
        <v>181</v>
      </c>
      <c r="AQ19">
        <v>-64</v>
      </c>
      <c r="AR19" s="2" t="s">
        <v>159</v>
      </c>
      <c r="AS19" t="s">
        <v>106</v>
      </c>
      <c r="AT19" t="s">
        <v>123</v>
      </c>
      <c r="AU19" s="64"/>
      <c r="AV19" s="60"/>
      <c r="AW19" s="7"/>
      <c r="AX19">
        <v>-69.8</v>
      </c>
      <c r="AY19" s="7">
        <f>358.5-180</f>
        <v>178.5</v>
      </c>
      <c r="AZ19" s="7">
        <v>26</v>
      </c>
      <c r="BA19" s="7"/>
      <c r="BB19" s="7"/>
    </row>
    <row r="20" spans="1:55">
      <c r="A20" t="s">
        <v>160</v>
      </c>
      <c r="B20" s="51">
        <v>-2.17</v>
      </c>
      <c r="C20" t="s">
        <v>161</v>
      </c>
      <c r="D20" t="s">
        <v>117</v>
      </c>
      <c r="E20" s="57">
        <v>0.32</v>
      </c>
      <c r="F20" s="49">
        <v>16.8</v>
      </c>
      <c r="G20" t="s">
        <v>155</v>
      </c>
      <c r="H20">
        <v>29.22</v>
      </c>
      <c r="I20">
        <v>58.6</v>
      </c>
      <c r="J20">
        <v>89</v>
      </c>
      <c r="K20" s="2" t="s">
        <v>59</v>
      </c>
      <c r="L20" s="63">
        <v>138</v>
      </c>
      <c r="M20">
        <v>-16</v>
      </c>
      <c r="N20" s="3">
        <v>117.4</v>
      </c>
      <c r="O20" s="3">
        <v>70</v>
      </c>
      <c r="P20" s="2">
        <v>2.2000000000000002</v>
      </c>
      <c r="Q20" t="s">
        <v>162</v>
      </c>
      <c r="R20">
        <v>23</v>
      </c>
      <c r="S20">
        <v>-26</v>
      </c>
      <c r="T20" s="5">
        <v>89</v>
      </c>
      <c r="U20" s="5">
        <v>-32.1</v>
      </c>
      <c r="V20" t="s">
        <v>163</v>
      </c>
      <c r="W20" s="2" t="s">
        <v>164</v>
      </c>
      <c r="X20">
        <v>285</v>
      </c>
      <c r="Y20">
        <v>-42</v>
      </c>
      <c r="AA20" s="3">
        <v>186.4</v>
      </c>
      <c r="AB20" s="3">
        <v>-33.4</v>
      </c>
      <c r="AC20" s="54" t="s">
        <v>165</v>
      </c>
      <c r="AD20" s="53">
        <v>78</v>
      </c>
      <c r="AE20" s="53">
        <v>-28</v>
      </c>
      <c r="AF20" t="s">
        <v>40</v>
      </c>
      <c r="AG20" s="6">
        <v>88.3</v>
      </c>
      <c r="AH20" s="6">
        <v>16.600000000000001</v>
      </c>
      <c r="AO20" s="54" t="s">
        <v>166</v>
      </c>
      <c r="AP20">
        <v>146</v>
      </c>
      <c r="AQ20">
        <v>-39</v>
      </c>
      <c r="AR20" s="2" t="s">
        <v>167</v>
      </c>
      <c r="AS20" t="s">
        <v>87</v>
      </c>
      <c r="AT20" t="s">
        <v>168</v>
      </c>
      <c r="AU20" s="59"/>
      <c r="AV20" s="69"/>
      <c r="AW20" s="7">
        <v>59.5</v>
      </c>
      <c r="AY20" s="7"/>
      <c r="AZ20" s="7"/>
      <c r="BA20" s="7"/>
      <c r="BB20" s="7"/>
    </row>
    <row r="21" spans="1:55">
      <c r="A21" t="s">
        <v>169</v>
      </c>
      <c r="B21" s="65">
        <v>-1.4499999999999993</v>
      </c>
      <c r="C21" t="s">
        <v>161</v>
      </c>
      <c r="D21" t="s">
        <v>57</v>
      </c>
      <c r="E21" s="57">
        <v>0.23300000000000001</v>
      </c>
      <c r="F21" s="49">
        <v>16.5</v>
      </c>
      <c r="G21" t="s">
        <v>155</v>
      </c>
      <c r="H21">
        <v>29.2</v>
      </c>
      <c r="I21">
        <v>47.6</v>
      </c>
      <c r="J21">
        <v>89</v>
      </c>
      <c r="K21" s="2" t="s">
        <v>59</v>
      </c>
      <c r="L21" s="63">
        <v>102</v>
      </c>
      <c r="M21">
        <v>-9</v>
      </c>
      <c r="N21" s="3">
        <v>64.099999999999994</v>
      </c>
      <c r="O21" s="3">
        <v>53.2</v>
      </c>
      <c r="P21" s="2">
        <v>3</v>
      </c>
      <c r="V21" t="s">
        <v>121</v>
      </c>
      <c r="W21" s="2" t="s">
        <v>170</v>
      </c>
      <c r="X21">
        <v>224</v>
      </c>
      <c r="Y21">
        <v>-58</v>
      </c>
      <c r="AA21" s="3">
        <v>169.5</v>
      </c>
      <c r="AB21" s="3">
        <v>1.1000000000000001</v>
      </c>
      <c r="AC21" s="2" t="s">
        <v>171</v>
      </c>
      <c r="AD21" s="53">
        <v>271</v>
      </c>
      <c r="AE21" s="53">
        <v>21</v>
      </c>
      <c r="AF21" t="s">
        <v>40</v>
      </c>
      <c r="AG21" s="6">
        <v>256.2</v>
      </c>
      <c r="AH21" s="6">
        <v>-39.4</v>
      </c>
      <c r="AO21" s="2" t="s">
        <v>172</v>
      </c>
      <c r="AP21">
        <v>27</v>
      </c>
      <c r="AQ21">
        <v>37</v>
      </c>
      <c r="AR21" s="2" t="s">
        <v>105</v>
      </c>
      <c r="AS21" t="s">
        <v>87</v>
      </c>
      <c r="AT21" t="s">
        <v>138</v>
      </c>
      <c r="AU21" s="70"/>
      <c r="AV21" s="60"/>
      <c r="AW21" s="7"/>
      <c r="AX21">
        <v>32.6</v>
      </c>
      <c r="AY21">
        <v>67.900000000000006</v>
      </c>
      <c r="AZ21" s="7">
        <v>-52.3</v>
      </c>
      <c r="BA21" s="7"/>
      <c r="BB21" s="7"/>
    </row>
    <row r="22" spans="1:55">
      <c r="A22" t="s">
        <v>173</v>
      </c>
      <c r="B22" s="65">
        <v>-1.4499999999999993</v>
      </c>
      <c r="C22" t="str">
        <f>C21</f>
        <v>l.gry sst</v>
      </c>
      <c r="D22" t="s">
        <v>174</v>
      </c>
      <c r="E22" s="57">
        <v>0.16450000000000001</v>
      </c>
      <c r="F22" s="49">
        <v>15.2</v>
      </c>
      <c r="G22" t="s">
        <v>175</v>
      </c>
      <c r="I22">
        <v>47.6</v>
      </c>
      <c r="J22">
        <v>89</v>
      </c>
      <c r="K22" s="71" t="s">
        <v>92</v>
      </c>
      <c r="L22" s="63">
        <v>113</v>
      </c>
      <c r="M22">
        <v>18</v>
      </c>
      <c r="N22" s="3">
        <v>11</v>
      </c>
      <c r="O22" s="3">
        <v>60.5</v>
      </c>
      <c r="P22" s="2">
        <v>3</v>
      </c>
      <c r="Q22" t="s">
        <v>176</v>
      </c>
      <c r="R22">
        <v>232</v>
      </c>
      <c r="S22">
        <v>26</v>
      </c>
      <c r="T22" s="5">
        <v>253.7</v>
      </c>
      <c r="U22" s="5">
        <v>-3.5</v>
      </c>
      <c r="V22" t="s">
        <v>177</v>
      </c>
      <c r="W22" s="2" t="s">
        <v>178</v>
      </c>
      <c r="X22">
        <v>247</v>
      </c>
      <c r="Y22">
        <v>-38</v>
      </c>
      <c r="AA22" s="3">
        <v>188.2</v>
      </c>
      <c r="AB22" s="3">
        <v>-15.8</v>
      </c>
      <c r="AD22" s="53"/>
      <c r="AE22" s="53"/>
      <c r="AI22" s="2" t="s">
        <v>179</v>
      </c>
      <c r="AO22" s="54" t="s">
        <v>180</v>
      </c>
      <c r="AP22">
        <v>133</v>
      </c>
      <c r="AQ22">
        <v>18</v>
      </c>
      <c r="AR22" s="2" t="s">
        <v>105</v>
      </c>
      <c r="AS22" t="s">
        <v>106</v>
      </c>
      <c r="AT22" t="s">
        <v>181</v>
      </c>
      <c r="AU22" s="70"/>
      <c r="AV22" s="60"/>
      <c r="AW22" s="7"/>
      <c r="AX22">
        <v>82.2</v>
      </c>
      <c r="AY22" s="7">
        <v>354.9</v>
      </c>
      <c r="AZ22" s="7">
        <v>-44.9</v>
      </c>
      <c r="BA22" s="7"/>
      <c r="BB22" s="7"/>
    </row>
    <row r="23" spans="1:55">
      <c r="A23" t="s">
        <v>182</v>
      </c>
      <c r="B23" s="65">
        <v>-1.4499999999999993</v>
      </c>
      <c r="C23" t="s">
        <v>125</v>
      </c>
      <c r="D23" t="s">
        <v>57</v>
      </c>
      <c r="E23" s="57">
        <v>0.45200000000000001</v>
      </c>
      <c r="F23" s="49">
        <v>15.5</v>
      </c>
      <c r="G23" t="s">
        <v>183</v>
      </c>
      <c r="H23">
        <v>22.6</v>
      </c>
      <c r="I23">
        <v>47.6</v>
      </c>
      <c r="J23">
        <v>85</v>
      </c>
      <c r="P23" s="2">
        <v>1.7</v>
      </c>
      <c r="U23" s="5" t="s">
        <v>69</v>
      </c>
      <c r="V23" t="s">
        <v>184</v>
      </c>
      <c r="W23" s="2" t="s">
        <v>185</v>
      </c>
      <c r="X23">
        <v>244</v>
      </c>
      <c r="Y23">
        <v>-39</v>
      </c>
      <c r="AA23" s="3">
        <v>188.4</v>
      </c>
      <c r="AB23" s="3">
        <v>-15.9</v>
      </c>
      <c r="AI23" s="71" t="s">
        <v>92</v>
      </c>
      <c r="AJ23" s="63">
        <v>197</v>
      </c>
      <c r="AK23">
        <v>-2</v>
      </c>
      <c r="AL23" t="s">
        <v>39</v>
      </c>
      <c r="AM23" s="3">
        <v>222.3</v>
      </c>
      <c r="AN23" s="3">
        <v>30.2</v>
      </c>
      <c r="AO23" s="54" t="s">
        <v>186</v>
      </c>
      <c r="AP23">
        <v>339</v>
      </c>
      <c r="AQ23">
        <v>44</v>
      </c>
      <c r="AR23" s="2" t="s">
        <v>159</v>
      </c>
      <c r="AS23" t="s">
        <v>87</v>
      </c>
      <c r="AT23" t="s">
        <v>88</v>
      </c>
      <c r="AU23" s="59"/>
      <c r="AV23" s="60"/>
      <c r="AW23" s="7"/>
      <c r="AX23">
        <v>82.3</v>
      </c>
      <c r="AY23" s="66">
        <v>355.7</v>
      </c>
      <c r="AZ23" s="66">
        <v>-44.8</v>
      </c>
      <c r="BA23" s="66"/>
      <c r="BB23" s="66"/>
    </row>
    <row r="24" spans="1:55">
      <c r="A24" t="s">
        <v>187</v>
      </c>
      <c r="B24" s="51">
        <v>-1.9999999999999574E-2</v>
      </c>
      <c r="C24" t="s">
        <v>154</v>
      </c>
      <c r="D24" t="s">
        <v>117</v>
      </c>
      <c r="E24" s="57">
        <v>4.2000000000000003E-2</v>
      </c>
      <c r="F24" s="49">
        <v>48.8</v>
      </c>
      <c r="G24" t="s">
        <v>155</v>
      </c>
      <c r="H24">
        <v>23.26</v>
      </c>
      <c r="I24">
        <v>47.6</v>
      </c>
      <c r="J24">
        <v>85</v>
      </c>
      <c r="K24" s="2" t="s">
        <v>59</v>
      </c>
      <c r="L24" s="63">
        <v>87</v>
      </c>
      <c r="M24">
        <v>61</v>
      </c>
      <c r="N24" s="3">
        <v>341.5</v>
      </c>
      <c r="O24" s="3">
        <v>22.5</v>
      </c>
      <c r="P24" s="2">
        <v>3.5</v>
      </c>
      <c r="U24" s="5" t="s">
        <v>69</v>
      </c>
      <c r="V24" s="63" t="s">
        <v>188</v>
      </c>
      <c r="AC24" s="2" t="s">
        <v>189</v>
      </c>
      <c r="AD24">
        <v>307</v>
      </c>
      <c r="AE24">
        <v>-44</v>
      </c>
      <c r="AF24" t="s">
        <v>40</v>
      </c>
      <c r="AG24" s="3">
        <v>149.5</v>
      </c>
      <c r="AH24" s="3">
        <v>-49.9</v>
      </c>
      <c r="AO24" s="2"/>
      <c r="AR24" s="2" t="s">
        <v>190</v>
      </c>
      <c r="AT24" t="s">
        <v>181</v>
      </c>
      <c r="AU24" s="70"/>
      <c r="AV24" s="60"/>
      <c r="AW24" s="7"/>
      <c r="AX24" s="7"/>
      <c r="AY24" s="7"/>
      <c r="AZ24" s="7"/>
      <c r="BA24" s="7"/>
      <c r="BB24" s="7"/>
      <c r="BC24" s="7"/>
    </row>
    <row r="25" spans="1:55">
      <c r="A25" t="s">
        <v>191</v>
      </c>
      <c r="B25" s="51">
        <v>-1.9999999999999574E-2</v>
      </c>
      <c r="C25" t="str">
        <f>C24</f>
        <v>oran sst</v>
      </c>
      <c r="D25" t="s">
        <v>174</v>
      </c>
      <c r="E25" s="52">
        <v>0.2621</v>
      </c>
      <c r="F25" s="49">
        <v>19.600000000000001</v>
      </c>
      <c r="G25" t="s">
        <v>192</v>
      </c>
      <c r="I25">
        <v>47.6</v>
      </c>
      <c r="J25">
        <v>85</v>
      </c>
      <c r="K25" s="2" t="s">
        <v>92</v>
      </c>
      <c r="L25" s="63">
        <v>164</v>
      </c>
      <c r="M25">
        <v>0</v>
      </c>
      <c r="N25" s="3">
        <v>217.6</v>
      </c>
      <c r="O25" s="3">
        <v>63.2</v>
      </c>
      <c r="P25" s="2">
        <v>3</v>
      </c>
      <c r="U25" s="5" t="s">
        <v>69</v>
      </c>
      <c r="V25" s="63" t="s">
        <v>193</v>
      </c>
      <c r="W25" t="s">
        <v>194</v>
      </c>
      <c r="X25">
        <v>268</v>
      </c>
      <c r="Y25">
        <v>-31</v>
      </c>
      <c r="AA25" s="3">
        <v>192.2</v>
      </c>
      <c r="AB25" s="3">
        <v>-36.700000000000003</v>
      </c>
      <c r="AG25" s="3"/>
      <c r="AH25" s="3"/>
      <c r="AO25" s="2"/>
      <c r="AR25" s="2" t="s">
        <v>63</v>
      </c>
      <c r="AT25" t="s">
        <v>181</v>
      </c>
      <c r="AU25" s="70"/>
      <c r="AV25" s="60"/>
      <c r="AW25" s="7"/>
      <c r="AX25" s="7"/>
      <c r="AY25" s="7"/>
      <c r="AZ25" s="7"/>
      <c r="BA25" s="7"/>
      <c r="BB25" s="7"/>
      <c r="BC25" s="7"/>
    </row>
    <row r="26" spans="1:55">
      <c r="A26" t="s">
        <v>195</v>
      </c>
      <c r="B26" s="51">
        <v>0.41999999999999993</v>
      </c>
      <c r="C26" t="s">
        <v>196</v>
      </c>
      <c r="D26" t="s">
        <v>90</v>
      </c>
      <c r="E26" s="57">
        <v>4.7E-2</v>
      </c>
      <c r="F26" s="49">
        <v>36.799999999999997</v>
      </c>
      <c r="G26" t="s">
        <v>197</v>
      </c>
      <c r="H26">
        <v>20.059999999999999</v>
      </c>
      <c r="I26">
        <v>47.6</v>
      </c>
      <c r="J26">
        <v>85</v>
      </c>
      <c r="K26" s="2" t="s">
        <v>76</v>
      </c>
      <c r="L26">
        <v>115</v>
      </c>
      <c r="M26">
        <v>66</v>
      </c>
      <c r="N26" s="3">
        <v>327.7</v>
      </c>
      <c r="O26" s="3">
        <v>27</v>
      </c>
      <c r="P26" s="2">
        <v>3</v>
      </c>
      <c r="U26" s="5" t="s">
        <v>69</v>
      </c>
      <c r="V26" t="s">
        <v>198</v>
      </c>
      <c r="W26" s="2" t="s">
        <v>199</v>
      </c>
      <c r="X26">
        <v>225</v>
      </c>
      <c r="Y26">
        <v>-70</v>
      </c>
      <c r="AA26" s="3">
        <v>157.6</v>
      </c>
      <c r="AB26" s="3">
        <v>-3.8</v>
      </c>
      <c r="AO26" s="2"/>
      <c r="AR26" s="2" t="s">
        <v>137</v>
      </c>
      <c r="AT26" t="s">
        <v>200</v>
      </c>
      <c r="AU26" s="72"/>
      <c r="AV26" s="60"/>
      <c r="AW26" s="7"/>
      <c r="AX26" s="7"/>
      <c r="AY26" s="7"/>
      <c r="AZ26" s="7"/>
      <c r="BA26" s="7"/>
      <c r="BB26" s="7"/>
      <c r="BC26" s="7"/>
    </row>
    <row r="27" spans="1:55">
      <c r="A27" t="s">
        <v>201</v>
      </c>
      <c r="B27" s="51">
        <v>0.41999999999999993</v>
      </c>
      <c r="C27" t="str">
        <f>C26</f>
        <v>grey sst</v>
      </c>
      <c r="D27" t="s">
        <v>174</v>
      </c>
      <c r="E27" s="52">
        <v>0.1153</v>
      </c>
      <c r="F27" s="49">
        <v>43.5</v>
      </c>
      <c r="G27" t="s">
        <v>202</v>
      </c>
      <c r="I27">
        <v>47.6</v>
      </c>
      <c r="J27">
        <v>85</v>
      </c>
      <c r="K27" s="2"/>
      <c r="P27" s="2">
        <v>1.6</v>
      </c>
      <c r="Q27" t="s">
        <v>203</v>
      </c>
      <c r="R27">
        <v>180</v>
      </c>
      <c r="S27">
        <v>60</v>
      </c>
      <c r="T27" s="5">
        <v>295.5</v>
      </c>
      <c r="U27" s="5">
        <v>26.3</v>
      </c>
      <c r="V27" t="s">
        <v>204</v>
      </c>
      <c r="W27" s="2"/>
      <c r="AC27" s="2" t="s">
        <v>92</v>
      </c>
      <c r="AD27">
        <v>52</v>
      </c>
      <c r="AE27">
        <v>48</v>
      </c>
      <c r="AF27" t="s">
        <v>40</v>
      </c>
      <c r="AG27" s="6">
        <v>359.8</v>
      </c>
      <c r="AH27" s="6">
        <v>6.7</v>
      </c>
      <c r="AO27" s="2" t="s">
        <v>205</v>
      </c>
      <c r="AP27">
        <v>359</v>
      </c>
      <c r="AQ27">
        <v>29</v>
      </c>
      <c r="AR27" s="2" t="s">
        <v>113</v>
      </c>
      <c r="AT27" t="s">
        <v>114</v>
      </c>
      <c r="AU27" s="72"/>
      <c r="AV27" s="60"/>
      <c r="AW27" s="7">
        <v>-82.8</v>
      </c>
      <c r="AX27" s="7"/>
      <c r="AY27" s="7"/>
      <c r="AZ27" s="7"/>
      <c r="BA27" s="7"/>
      <c r="BB27" s="7"/>
      <c r="BC27" s="7"/>
    </row>
    <row r="28" spans="1:55">
      <c r="A28" t="s">
        <v>206</v>
      </c>
      <c r="B28" s="51">
        <v>1.0999999999999996</v>
      </c>
      <c r="C28" t="s">
        <v>154</v>
      </c>
      <c r="D28" t="s">
        <v>90</v>
      </c>
      <c r="E28" s="57">
        <v>5.1999999999999998E-2</v>
      </c>
      <c r="F28" s="49">
        <v>19.3</v>
      </c>
      <c r="G28" t="s">
        <v>207</v>
      </c>
      <c r="H28">
        <v>20.18</v>
      </c>
      <c r="I28">
        <v>47.6</v>
      </c>
      <c r="J28">
        <v>85</v>
      </c>
      <c r="K28" s="2" t="s">
        <v>92</v>
      </c>
      <c r="L28" s="63">
        <v>130</v>
      </c>
      <c r="M28">
        <v>-6</v>
      </c>
      <c r="N28" s="3">
        <v>102.9</v>
      </c>
      <c r="O28" s="3">
        <v>76.599999999999994</v>
      </c>
      <c r="P28" s="2">
        <v>1.7</v>
      </c>
      <c r="Q28" s="63" t="s">
        <v>146</v>
      </c>
      <c r="R28" s="53">
        <v>163</v>
      </c>
      <c r="S28" s="53">
        <v>55</v>
      </c>
      <c r="T28" s="67">
        <v>299.89999999999998</v>
      </c>
      <c r="U28" s="67">
        <v>36</v>
      </c>
      <c r="V28" t="s">
        <v>121</v>
      </c>
      <c r="W28" s="2" t="s">
        <v>94</v>
      </c>
      <c r="X28">
        <v>261</v>
      </c>
      <c r="Y28">
        <v>-33</v>
      </c>
      <c r="AA28" s="3">
        <v>191.9</v>
      </c>
      <c r="AB28" s="3">
        <v>-30.5</v>
      </c>
      <c r="AO28" s="54" t="s">
        <v>104</v>
      </c>
      <c r="AP28">
        <v>328</v>
      </c>
      <c r="AQ28">
        <v>33</v>
      </c>
      <c r="AR28" s="2" t="s">
        <v>113</v>
      </c>
      <c r="AS28" t="s">
        <v>66</v>
      </c>
      <c r="AT28" t="s">
        <v>123</v>
      </c>
      <c r="AU28" s="64"/>
      <c r="AV28" s="60"/>
      <c r="AW28" s="7">
        <v>-77.8</v>
      </c>
      <c r="AX28" s="51"/>
      <c r="AY28" s="66"/>
      <c r="AZ28" s="66"/>
      <c r="BA28" s="66"/>
      <c r="BB28" s="66"/>
      <c r="BC28" s="7"/>
    </row>
    <row r="29" spans="1:55">
      <c r="A29" t="s">
        <v>208</v>
      </c>
      <c r="B29" s="51">
        <v>1.5300000000000011</v>
      </c>
      <c r="C29" t="s">
        <v>196</v>
      </c>
      <c r="D29" t="s">
        <v>90</v>
      </c>
      <c r="E29" s="57">
        <v>0.247</v>
      </c>
      <c r="F29" s="49">
        <v>31.2</v>
      </c>
      <c r="G29" t="s">
        <v>209</v>
      </c>
      <c r="H29">
        <v>24.67</v>
      </c>
      <c r="I29">
        <v>47.6</v>
      </c>
      <c r="J29">
        <v>85</v>
      </c>
      <c r="K29" s="2" t="s">
        <v>59</v>
      </c>
      <c r="L29">
        <v>110</v>
      </c>
      <c r="M29">
        <v>42</v>
      </c>
      <c r="N29" s="3">
        <v>347.1</v>
      </c>
      <c r="O29" s="3">
        <v>45.6</v>
      </c>
      <c r="P29" s="2">
        <v>2.5</v>
      </c>
      <c r="U29" s="5" t="s">
        <v>69</v>
      </c>
      <c r="V29" t="s">
        <v>210</v>
      </c>
      <c r="W29" s="2" t="s">
        <v>61</v>
      </c>
      <c r="X29">
        <v>256</v>
      </c>
      <c r="Y29">
        <v>-23</v>
      </c>
      <c r="AA29" s="3">
        <v>204.2</v>
      </c>
      <c r="AB29" s="3">
        <v>-28</v>
      </c>
      <c r="AC29" s="2" t="s">
        <v>211</v>
      </c>
      <c r="AD29" s="53">
        <v>274</v>
      </c>
      <c r="AE29" s="53">
        <v>-21</v>
      </c>
      <c r="AF29" t="s">
        <v>63</v>
      </c>
      <c r="AG29" s="6">
        <v>202.8</v>
      </c>
      <c r="AH29" s="6">
        <v>-44.8</v>
      </c>
      <c r="AO29" s="2" t="s">
        <v>212</v>
      </c>
      <c r="AP29">
        <v>134</v>
      </c>
      <c r="AQ29">
        <v>-49</v>
      </c>
      <c r="AR29" s="2" t="s">
        <v>105</v>
      </c>
      <c r="AS29" t="s">
        <v>87</v>
      </c>
      <c r="AT29" t="s">
        <v>123</v>
      </c>
      <c r="AU29" s="64"/>
      <c r="AV29" s="60"/>
      <c r="AW29" s="7"/>
      <c r="AX29">
        <v>-73.099999999999994</v>
      </c>
      <c r="AY29">
        <f>346.7-180</f>
        <v>166.7</v>
      </c>
      <c r="AZ29" s="7">
        <v>36.200000000000003</v>
      </c>
      <c r="BA29" s="7"/>
      <c r="BB29" s="7"/>
      <c r="BC29" s="7"/>
    </row>
    <row r="30" spans="1:55">
      <c r="A30" t="s">
        <v>213</v>
      </c>
      <c r="B30" s="51">
        <v>4.7</v>
      </c>
      <c r="C30" t="str">
        <f>'[1]BQ ms'!G53</f>
        <v>pale grey, lam sst</v>
      </c>
      <c r="D30" t="s">
        <v>174</v>
      </c>
      <c r="E30" s="57">
        <v>0.20399999999999999</v>
      </c>
      <c r="F30" s="49">
        <v>19.100000000000001</v>
      </c>
      <c r="G30" t="s">
        <v>214</v>
      </c>
      <c r="I30">
        <v>60.6</v>
      </c>
      <c r="J30">
        <v>82.5</v>
      </c>
      <c r="K30" s="73"/>
      <c r="P30" s="2">
        <v>2.5</v>
      </c>
      <c r="Q30" t="s">
        <v>215</v>
      </c>
      <c r="R30">
        <v>135</v>
      </c>
      <c r="S30">
        <v>-75</v>
      </c>
      <c r="T30" s="67">
        <v>146.6</v>
      </c>
      <c r="U30" s="67">
        <v>7</v>
      </c>
      <c r="V30" t="s">
        <v>216</v>
      </c>
      <c r="W30" s="2" t="s">
        <v>143</v>
      </c>
      <c r="X30">
        <v>240</v>
      </c>
      <c r="Y30">
        <v>-35</v>
      </c>
      <c r="AA30" s="3">
        <v>205.8</v>
      </c>
      <c r="AB30" s="3">
        <v>-3.8</v>
      </c>
      <c r="AC30" s="2" t="s">
        <v>76</v>
      </c>
      <c r="AD30" s="53">
        <v>273</v>
      </c>
      <c r="AE30" s="53">
        <v>3</v>
      </c>
      <c r="AF30" t="s">
        <v>63</v>
      </c>
      <c r="AG30" s="6">
        <v>248.8</v>
      </c>
      <c r="AH30" s="6">
        <v>-31.6</v>
      </c>
      <c r="AI30" s="2" t="s">
        <v>176</v>
      </c>
      <c r="AJ30">
        <v>245</v>
      </c>
      <c r="AK30">
        <v>60</v>
      </c>
      <c r="AL30" t="s">
        <v>39</v>
      </c>
      <c r="AM30">
        <v>300.60000000000002</v>
      </c>
      <c r="AN30">
        <v>4.3</v>
      </c>
      <c r="AO30" s="2" t="s">
        <v>77</v>
      </c>
      <c r="AP30">
        <v>302</v>
      </c>
      <c r="AQ30">
        <v>33</v>
      </c>
      <c r="AR30" s="2" t="s">
        <v>105</v>
      </c>
      <c r="AS30" t="s">
        <v>87</v>
      </c>
      <c r="AT30" t="s">
        <v>107</v>
      </c>
      <c r="AU30" s="59"/>
      <c r="AV30" s="60"/>
      <c r="AW30" s="7"/>
      <c r="AX30">
        <v>80.099999999999994</v>
      </c>
      <c r="AY30">
        <v>348.6</v>
      </c>
      <c r="AZ30" s="7">
        <v>-46.6</v>
      </c>
      <c r="BA30" s="7"/>
      <c r="BB30" s="7"/>
      <c r="BC30" s="7"/>
    </row>
    <row r="31" spans="1:55">
      <c r="A31" t="s">
        <v>217</v>
      </c>
      <c r="B31" s="51">
        <v>5.44</v>
      </c>
      <c r="C31" t="str">
        <f>'[1]BQ ms'!G54</f>
        <v>dk grey, laminated sst</v>
      </c>
      <c r="D31" t="s">
        <v>174</v>
      </c>
      <c r="E31" s="57">
        <v>0.34389999999999998</v>
      </c>
      <c r="F31" s="49">
        <v>27.5</v>
      </c>
      <c r="G31" t="s">
        <v>218</v>
      </c>
      <c r="I31">
        <v>60.6</v>
      </c>
      <c r="J31">
        <v>82.5</v>
      </c>
      <c r="K31" s="53" t="s">
        <v>85</v>
      </c>
      <c r="L31">
        <v>139</v>
      </c>
      <c r="M31">
        <v>34</v>
      </c>
      <c r="N31" s="3">
        <v>351</v>
      </c>
      <c r="O31" s="3">
        <v>61.4</v>
      </c>
      <c r="P31" s="2">
        <v>3</v>
      </c>
      <c r="Q31" s="4" t="s">
        <v>219</v>
      </c>
      <c r="R31">
        <v>328</v>
      </c>
      <c r="S31">
        <v>-73</v>
      </c>
      <c r="T31" s="5">
        <v>151.4</v>
      </c>
      <c r="U31" s="5">
        <v>-24.5</v>
      </c>
      <c r="V31" t="s">
        <v>127</v>
      </c>
      <c r="W31" s="2" t="s">
        <v>220</v>
      </c>
      <c r="X31">
        <v>172</v>
      </c>
      <c r="Y31">
        <v>-18</v>
      </c>
      <c r="AA31" s="3">
        <v>190</v>
      </c>
      <c r="AB31" s="3">
        <v>56.9</v>
      </c>
      <c r="AD31" s="53"/>
      <c r="AE31" s="53"/>
      <c r="AO31" s="2" t="s">
        <v>220</v>
      </c>
      <c r="AP31">
        <v>266</v>
      </c>
      <c r="AQ31">
        <v>-13</v>
      </c>
      <c r="AR31" s="2" t="s">
        <v>105</v>
      </c>
      <c r="AS31" t="s">
        <v>87</v>
      </c>
      <c r="AT31" t="s">
        <v>67</v>
      </c>
      <c r="AU31" s="59"/>
      <c r="AV31" s="60"/>
      <c r="AW31" s="7"/>
      <c r="AX31">
        <v>77.400000000000006</v>
      </c>
      <c r="AY31" s="7">
        <v>12.5</v>
      </c>
      <c r="AZ31" s="7">
        <v>-50.8</v>
      </c>
      <c r="BA31" s="7"/>
      <c r="BB31" s="7"/>
      <c r="BC31" s="7"/>
    </row>
    <row r="32" spans="1:55">
      <c r="A32" t="s">
        <v>221</v>
      </c>
      <c r="B32" s="51">
        <v>6.75</v>
      </c>
      <c r="C32" t="str">
        <f>'[1]BQ ms'!G56</f>
        <v>dk grey sst</v>
      </c>
      <c r="D32" t="s">
        <v>57</v>
      </c>
      <c r="E32" s="57">
        <v>0.18099999999999999</v>
      </c>
      <c r="F32" s="49">
        <v>37.700000000000003</v>
      </c>
      <c r="G32" t="s">
        <v>58</v>
      </c>
      <c r="H32">
        <v>24.31</v>
      </c>
      <c r="I32">
        <v>61.6</v>
      </c>
      <c r="J32">
        <v>80</v>
      </c>
      <c r="P32" s="2">
        <v>2</v>
      </c>
      <c r="Q32" s="63" t="s">
        <v>222</v>
      </c>
      <c r="R32" s="53">
        <v>206</v>
      </c>
      <c r="S32" s="53">
        <v>47</v>
      </c>
      <c r="T32" s="5">
        <v>291.2</v>
      </c>
      <c r="U32" s="5">
        <v>31.2</v>
      </c>
      <c r="V32" t="s">
        <v>223</v>
      </c>
      <c r="W32" s="2" t="s">
        <v>122</v>
      </c>
      <c r="X32">
        <v>288</v>
      </c>
      <c r="Y32">
        <v>-36</v>
      </c>
      <c r="AA32" s="3">
        <v>201.1</v>
      </c>
      <c r="AB32" s="3">
        <v>-42.8</v>
      </c>
      <c r="AI32" s="2" t="s">
        <v>92</v>
      </c>
      <c r="AJ32" s="63">
        <v>335</v>
      </c>
      <c r="AK32">
        <v>11</v>
      </c>
      <c r="AL32" t="s">
        <v>96</v>
      </c>
      <c r="AM32" s="3">
        <v>340.8</v>
      </c>
      <c r="AN32" s="3">
        <v>-68.7</v>
      </c>
      <c r="AO32" s="54" t="s">
        <v>104</v>
      </c>
      <c r="AP32">
        <v>333</v>
      </c>
      <c r="AQ32">
        <v>34</v>
      </c>
      <c r="AR32" s="2" t="s">
        <v>113</v>
      </c>
      <c r="AS32" t="s">
        <v>66</v>
      </c>
      <c r="AT32" t="s">
        <v>114</v>
      </c>
      <c r="AU32" s="64"/>
      <c r="AV32" s="60"/>
      <c r="AW32" s="7">
        <v>-65.2</v>
      </c>
      <c r="AX32" s="51"/>
      <c r="AY32" s="66"/>
      <c r="AZ32" s="66"/>
      <c r="BA32" s="66"/>
      <c r="BB32" s="66"/>
      <c r="BC32" s="7"/>
    </row>
    <row r="33" spans="1:55">
      <c r="A33" t="s">
        <v>224</v>
      </c>
      <c r="B33" s="51">
        <v>7.49</v>
      </c>
      <c r="C33" t="str">
        <f>'[1]BQ ms'!G58</f>
        <v>sst</v>
      </c>
      <c r="D33" t="s">
        <v>174</v>
      </c>
      <c r="E33" s="57">
        <v>0.48559999999999998</v>
      </c>
      <c r="F33" s="49">
        <v>23.9</v>
      </c>
      <c r="G33" t="s">
        <v>225</v>
      </c>
      <c r="I33">
        <v>60.6</v>
      </c>
      <c r="J33">
        <v>82.5</v>
      </c>
      <c r="K33" t="s">
        <v>92</v>
      </c>
      <c r="L33">
        <v>154</v>
      </c>
      <c r="M33">
        <v>-5</v>
      </c>
      <c r="N33" s="3">
        <v>165.9</v>
      </c>
      <c r="O33" s="3">
        <v>77</v>
      </c>
      <c r="P33" s="2">
        <v>3</v>
      </c>
      <c r="T33" s="67"/>
      <c r="U33" s="67" t="s">
        <v>69</v>
      </c>
      <c r="W33" s="63" t="s">
        <v>226</v>
      </c>
      <c r="X33" s="53">
        <v>248</v>
      </c>
      <c r="Y33" s="53">
        <v>-28</v>
      </c>
      <c r="AA33" s="3">
        <v>213.4</v>
      </c>
      <c r="AB33" s="3">
        <v>-10</v>
      </c>
      <c r="AC33" s="54" t="s">
        <v>227</v>
      </c>
      <c r="AD33">
        <v>268</v>
      </c>
      <c r="AE33">
        <v>24</v>
      </c>
      <c r="AF33" t="s">
        <v>39</v>
      </c>
      <c r="AG33" s="6">
        <v>270.10000000000002</v>
      </c>
      <c r="AH33" s="6">
        <v>-21.3</v>
      </c>
      <c r="AJ33" s="63"/>
      <c r="AM33" s="3"/>
      <c r="AN33" s="3"/>
      <c r="AO33" s="54"/>
      <c r="AR33" s="2" t="s">
        <v>63</v>
      </c>
      <c r="AT33" t="s">
        <v>181</v>
      </c>
      <c r="AU33" s="70"/>
      <c r="AV33" s="60"/>
      <c r="AW33" s="7"/>
      <c r="AX33" s="51"/>
      <c r="AY33" s="66"/>
      <c r="AZ33" s="66"/>
      <c r="BA33" s="66"/>
      <c r="BB33" s="66"/>
      <c r="BC33" s="7"/>
    </row>
    <row r="34" spans="1:55">
      <c r="A34" t="s">
        <v>228</v>
      </c>
      <c r="B34" s="51">
        <v>8.5</v>
      </c>
      <c r="C34" t="str">
        <f>'[1]BQ ms'!G60</f>
        <v>grey</v>
      </c>
      <c r="D34" t="s">
        <v>90</v>
      </c>
      <c r="E34" s="57">
        <v>0.16600000000000001</v>
      </c>
      <c r="F34" s="49">
        <v>35.1</v>
      </c>
      <c r="G34" t="s">
        <v>229</v>
      </c>
      <c r="H34">
        <v>23.16</v>
      </c>
      <c r="I34">
        <v>59.6</v>
      </c>
      <c r="J34">
        <v>85</v>
      </c>
      <c r="K34" s="2" t="s">
        <v>59</v>
      </c>
      <c r="L34">
        <v>99</v>
      </c>
      <c r="M34">
        <v>48</v>
      </c>
      <c r="N34" s="3">
        <v>5.9</v>
      </c>
      <c r="O34" s="3">
        <v>29.2</v>
      </c>
      <c r="P34" s="2" t="s">
        <v>69</v>
      </c>
      <c r="U34" s="5" t="s">
        <v>69</v>
      </c>
      <c r="V34" t="s">
        <v>60</v>
      </c>
      <c r="W34" s="2" t="s">
        <v>230</v>
      </c>
      <c r="X34">
        <v>277</v>
      </c>
      <c r="Y34">
        <v>-33</v>
      </c>
      <c r="AA34" s="3">
        <v>202.8</v>
      </c>
      <c r="AB34" s="3">
        <v>-33.700000000000003</v>
      </c>
      <c r="AO34" s="54" t="s">
        <v>231</v>
      </c>
      <c r="AP34">
        <v>339</v>
      </c>
      <c r="AQ34">
        <v>36</v>
      </c>
      <c r="AR34" s="2" t="s">
        <v>232</v>
      </c>
      <c r="AS34" t="s">
        <v>87</v>
      </c>
      <c r="AT34" t="s">
        <v>138</v>
      </c>
      <c r="AU34" s="59"/>
      <c r="AV34" s="60"/>
      <c r="AW34" s="7"/>
      <c r="AX34">
        <v>89.2</v>
      </c>
      <c r="AY34" s="7">
        <v>357.4</v>
      </c>
      <c r="AZ34" s="7">
        <v>-52.6</v>
      </c>
      <c r="BA34" s="7"/>
      <c r="BB34" s="7"/>
      <c r="BC34" s="7"/>
    </row>
    <row r="35" spans="1:55">
      <c r="A35" t="s">
        <v>233</v>
      </c>
      <c r="B35" s="51">
        <v>8.5</v>
      </c>
      <c r="C35" t="str">
        <f>C34</f>
        <v>grey</v>
      </c>
      <c r="D35" t="s">
        <v>174</v>
      </c>
      <c r="E35" s="57">
        <v>5.4829999999999997E-2</v>
      </c>
      <c r="F35" s="49">
        <v>34.5</v>
      </c>
      <c r="G35" t="s">
        <v>234</v>
      </c>
      <c r="I35">
        <v>59.6</v>
      </c>
      <c r="J35">
        <v>85</v>
      </c>
      <c r="K35" s="2" t="s">
        <v>92</v>
      </c>
      <c r="L35">
        <v>88</v>
      </c>
      <c r="M35">
        <v>36</v>
      </c>
      <c r="N35" s="3">
        <v>21.8</v>
      </c>
      <c r="O35" s="3">
        <v>25.8</v>
      </c>
      <c r="P35" s="2">
        <v>2.5</v>
      </c>
      <c r="Q35" s="63" t="s">
        <v>227</v>
      </c>
      <c r="R35">
        <v>306</v>
      </c>
      <c r="S35">
        <v>-56</v>
      </c>
      <c r="T35" s="5">
        <v>165.6</v>
      </c>
      <c r="U35" s="5">
        <v>-35.6</v>
      </c>
      <c r="W35" s="2" t="s">
        <v>147</v>
      </c>
      <c r="X35">
        <v>272</v>
      </c>
      <c r="Y35">
        <v>-44</v>
      </c>
      <c r="AA35" s="3">
        <v>192.3</v>
      </c>
      <c r="AB35" s="3">
        <v>-26.4</v>
      </c>
      <c r="AO35" s="54" t="s">
        <v>104</v>
      </c>
      <c r="AP35">
        <v>140</v>
      </c>
      <c r="AQ35">
        <v>-33</v>
      </c>
      <c r="AR35" s="2" t="s">
        <v>113</v>
      </c>
      <c r="AT35" t="s">
        <v>168</v>
      </c>
      <c r="AU35" s="59"/>
      <c r="AV35" s="69"/>
      <c r="AW35" s="7">
        <v>48.2</v>
      </c>
      <c r="AX35" s="51"/>
      <c r="AY35" s="66"/>
      <c r="AZ35" s="66"/>
      <c r="BA35" s="66"/>
      <c r="BB35" s="66"/>
      <c r="BC35" s="7"/>
    </row>
    <row r="36" spans="1:55">
      <c r="A36" t="s">
        <v>235</v>
      </c>
      <c r="B36" s="51">
        <v>10.32</v>
      </c>
      <c r="C36" t="str">
        <f>'[1]BQ ms'!G61</f>
        <v>pale grey</v>
      </c>
      <c r="D36" t="s">
        <v>174</v>
      </c>
      <c r="E36" s="52">
        <v>0.19800000000000001</v>
      </c>
      <c r="F36" s="49">
        <v>43.2</v>
      </c>
      <c r="G36" t="s">
        <v>236</v>
      </c>
      <c r="I36">
        <v>60.6</v>
      </c>
      <c r="J36">
        <v>82.5</v>
      </c>
      <c r="K36" s="2" t="s">
        <v>92</v>
      </c>
      <c r="L36">
        <v>56</v>
      </c>
      <c r="M36">
        <v>50</v>
      </c>
      <c r="N36" s="3">
        <v>10.5</v>
      </c>
      <c r="O36" s="3">
        <v>2.8</v>
      </c>
      <c r="P36" s="2">
        <v>3</v>
      </c>
      <c r="Q36" t="s">
        <v>237</v>
      </c>
      <c r="U36" s="5" t="s">
        <v>69</v>
      </c>
      <c r="V36" t="s">
        <v>121</v>
      </c>
      <c r="W36" s="2" t="s">
        <v>122</v>
      </c>
      <c r="X36">
        <v>267</v>
      </c>
      <c r="Y36">
        <v>-18</v>
      </c>
      <c r="AA36" s="3">
        <v>224.2</v>
      </c>
      <c r="AB36" s="3">
        <v>-27.4</v>
      </c>
      <c r="AC36" s="2" t="s">
        <v>238</v>
      </c>
      <c r="AD36">
        <v>121</v>
      </c>
      <c r="AE36">
        <v>23</v>
      </c>
      <c r="AF36" t="s">
        <v>40</v>
      </c>
      <c r="AG36" s="6">
        <v>28.7</v>
      </c>
      <c r="AH36" s="6">
        <v>57.6</v>
      </c>
      <c r="AO36" s="54"/>
      <c r="AR36" s="2" t="s">
        <v>63</v>
      </c>
      <c r="AT36" t="s">
        <v>181</v>
      </c>
      <c r="AU36" s="70"/>
      <c r="AV36" s="60"/>
      <c r="AW36" s="7"/>
      <c r="AX36" s="51"/>
      <c r="AY36" s="66"/>
      <c r="AZ36" s="66"/>
      <c r="BA36" s="66"/>
      <c r="BB36" s="66"/>
      <c r="BC36" s="7"/>
    </row>
    <row r="37" spans="1:55">
      <c r="A37" t="s">
        <v>239</v>
      </c>
      <c r="B37" s="51">
        <v>11.37</v>
      </c>
      <c r="C37" t="s">
        <v>240</v>
      </c>
      <c r="D37" t="s">
        <v>241</v>
      </c>
      <c r="E37" s="74">
        <v>4.0579999999999998</v>
      </c>
      <c r="F37" s="49">
        <v>31.4</v>
      </c>
      <c r="G37" t="s">
        <v>242</v>
      </c>
      <c r="H37">
        <v>24.21</v>
      </c>
      <c r="I37">
        <v>64.599999999999994</v>
      </c>
      <c r="J37">
        <v>75</v>
      </c>
      <c r="K37" s="2" t="s">
        <v>243</v>
      </c>
      <c r="L37" s="63">
        <v>130</v>
      </c>
      <c r="M37">
        <v>-2</v>
      </c>
      <c r="N37" s="3">
        <v>97.5</v>
      </c>
      <c r="O37" s="3">
        <v>60.3</v>
      </c>
      <c r="Q37" s="63" t="s">
        <v>244</v>
      </c>
      <c r="R37" s="53">
        <v>144</v>
      </c>
      <c r="S37" s="53">
        <v>-67</v>
      </c>
      <c r="T37" s="5">
        <v>150.4</v>
      </c>
      <c r="U37" s="5">
        <v>7.6</v>
      </c>
      <c r="V37" t="s">
        <v>121</v>
      </c>
      <c r="W37" s="2"/>
      <c r="AC37" s="75" t="s">
        <v>205</v>
      </c>
      <c r="AD37" s="76">
        <v>182</v>
      </c>
      <c r="AE37" s="76">
        <v>61</v>
      </c>
      <c r="AF37" t="s">
        <v>40</v>
      </c>
      <c r="AG37" s="6">
        <v>317.7</v>
      </c>
      <c r="AH37" s="6">
        <v>40</v>
      </c>
      <c r="AO37" s="54" t="s">
        <v>245</v>
      </c>
      <c r="AP37">
        <v>44</v>
      </c>
      <c r="AQ37">
        <v>23</v>
      </c>
      <c r="AR37" s="2" t="s">
        <v>105</v>
      </c>
      <c r="AS37" t="s">
        <v>66</v>
      </c>
      <c r="AT37" t="s">
        <v>88</v>
      </c>
      <c r="AU37" s="59"/>
      <c r="AV37" s="60"/>
      <c r="AW37" s="7"/>
      <c r="AX37">
        <v>85.3</v>
      </c>
      <c r="AY37" s="7">
        <v>353.1</v>
      </c>
      <c r="AZ37" s="7">
        <v>-56.1</v>
      </c>
      <c r="BA37" s="7"/>
      <c r="BB37" s="7"/>
      <c r="BC37" s="7"/>
    </row>
    <row r="38" spans="1:55">
      <c r="A38" t="s">
        <v>246</v>
      </c>
      <c r="B38" s="51">
        <v>12.26</v>
      </c>
      <c r="C38" t="s">
        <v>247</v>
      </c>
      <c r="D38" t="s">
        <v>90</v>
      </c>
      <c r="E38" s="57">
        <v>0.13200000000000001</v>
      </c>
      <c r="F38" s="49">
        <v>34.5</v>
      </c>
      <c r="G38" t="s">
        <v>248</v>
      </c>
      <c r="H38">
        <v>24.02</v>
      </c>
      <c r="I38">
        <v>64.599999999999994</v>
      </c>
      <c r="J38">
        <v>75</v>
      </c>
      <c r="K38" s="2" t="s">
        <v>59</v>
      </c>
      <c r="L38">
        <v>157</v>
      </c>
      <c r="M38">
        <v>60</v>
      </c>
      <c r="N38" s="3">
        <v>332.9</v>
      </c>
      <c r="O38" s="3">
        <v>45</v>
      </c>
      <c r="P38" s="2">
        <v>2</v>
      </c>
      <c r="V38" t="s">
        <v>60</v>
      </c>
      <c r="W38" s="54" t="s">
        <v>249</v>
      </c>
      <c r="X38">
        <v>267</v>
      </c>
      <c r="Y38">
        <v>-41</v>
      </c>
      <c r="AA38" s="3">
        <v>205.9</v>
      </c>
      <c r="AB38" s="3">
        <v>-26.6</v>
      </c>
      <c r="AC38" s="54" t="s">
        <v>227</v>
      </c>
      <c r="AD38">
        <v>174</v>
      </c>
      <c r="AE38">
        <v>-27</v>
      </c>
      <c r="AF38" s="61" t="s">
        <v>96</v>
      </c>
      <c r="AG38" s="6">
        <v>178.9</v>
      </c>
      <c r="AH38" s="6">
        <v>44</v>
      </c>
      <c r="AO38" s="2"/>
      <c r="AR38" s="2" t="s">
        <v>63</v>
      </c>
      <c r="AT38" t="s">
        <v>181</v>
      </c>
      <c r="AU38" s="59"/>
      <c r="AV38" s="60"/>
      <c r="AW38" s="7"/>
      <c r="AX38" s="7"/>
      <c r="AY38" s="7"/>
      <c r="AZ38" s="7"/>
      <c r="BA38" s="7"/>
      <c r="BB38" s="7"/>
      <c r="BC38" s="7"/>
    </row>
    <row r="39" spans="1:55">
      <c r="A39" t="s">
        <v>250</v>
      </c>
      <c r="B39" s="51">
        <v>12.26</v>
      </c>
      <c r="C39" t="str">
        <f>C38</f>
        <v>d. grey sst</v>
      </c>
      <c r="D39" t="s">
        <v>174</v>
      </c>
      <c r="E39" s="57">
        <v>0.27810000000000001</v>
      </c>
      <c r="F39" s="49">
        <v>39.200000000000003</v>
      </c>
      <c r="G39" t="s">
        <v>251</v>
      </c>
      <c r="I39">
        <v>64.599999999999994</v>
      </c>
      <c r="J39">
        <v>75</v>
      </c>
      <c r="K39" s="2" t="s">
        <v>92</v>
      </c>
      <c r="L39">
        <v>206</v>
      </c>
      <c r="M39">
        <v>32</v>
      </c>
      <c r="N39" s="3">
        <v>274.10000000000002</v>
      </c>
      <c r="O39" s="3">
        <v>40.4</v>
      </c>
      <c r="P39" s="2">
        <v>2</v>
      </c>
      <c r="Q39" t="s">
        <v>176</v>
      </c>
      <c r="R39">
        <v>59</v>
      </c>
      <c r="S39">
        <v>-12</v>
      </c>
      <c r="T39" s="5">
        <v>74.900000000000006</v>
      </c>
      <c r="U39" s="5">
        <v>-8.4</v>
      </c>
      <c r="V39" t="s">
        <v>121</v>
      </c>
      <c r="W39" s="54" t="s">
        <v>101</v>
      </c>
      <c r="X39">
        <v>265</v>
      </c>
      <c r="Y39">
        <v>-41</v>
      </c>
      <c r="AA39" s="3">
        <v>206</v>
      </c>
      <c r="AB39" s="3">
        <v>-25.1</v>
      </c>
      <c r="AC39" s="54"/>
      <c r="AF39" s="61"/>
      <c r="AI39" s="2" t="s">
        <v>252</v>
      </c>
      <c r="AO39" s="2" t="s">
        <v>253</v>
      </c>
      <c r="AP39">
        <v>320</v>
      </c>
      <c r="AQ39">
        <v>37</v>
      </c>
      <c r="AR39" s="2" t="s">
        <v>137</v>
      </c>
      <c r="AS39" t="s">
        <v>87</v>
      </c>
      <c r="AT39" t="s">
        <v>181</v>
      </c>
      <c r="AU39" s="70"/>
      <c r="AV39" s="60"/>
      <c r="AW39" s="7"/>
      <c r="AX39">
        <v>83.9</v>
      </c>
      <c r="AY39">
        <v>353.3</v>
      </c>
      <c r="AZ39" s="7">
        <v>-48</v>
      </c>
      <c r="BA39" s="7"/>
      <c r="BB39" s="7"/>
      <c r="BC39" s="7"/>
    </row>
    <row r="40" spans="1:55">
      <c r="A40" t="s">
        <v>254</v>
      </c>
      <c r="B40" s="51">
        <v>13.03</v>
      </c>
      <c r="C40" t="s">
        <v>240</v>
      </c>
      <c r="D40" t="s">
        <v>241</v>
      </c>
      <c r="E40" s="74">
        <v>3.9279999999999999</v>
      </c>
      <c r="F40" s="49">
        <v>40.299999999999997</v>
      </c>
      <c r="G40" s="58" t="s">
        <v>255</v>
      </c>
      <c r="H40">
        <v>26.33</v>
      </c>
      <c r="I40">
        <v>64.599999999999994</v>
      </c>
      <c r="J40">
        <v>75</v>
      </c>
      <c r="K40" s="2"/>
      <c r="P40" s="2">
        <v>2</v>
      </c>
      <c r="U40" s="5" t="s">
        <v>69</v>
      </c>
      <c r="V40" t="s">
        <v>256</v>
      </c>
      <c r="W40" s="2"/>
      <c r="AC40" s="2" t="s">
        <v>257</v>
      </c>
      <c r="AD40">
        <v>219</v>
      </c>
      <c r="AE40">
        <v>4</v>
      </c>
      <c r="AF40" t="s">
        <v>39</v>
      </c>
      <c r="AG40" s="6">
        <v>241.8</v>
      </c>
      <c r="AH40" s="6">
        <v>25.7</v>
      </c>
      <c r="AO40" s="2"/>
      <c r="AR40" s="2" t="s">
        <v>258</v>
      </c>
      <c r="AT40" t="s">
        <v>138</v>
      </c>
      <c r="AU40" s="70"/>
      <c r="AV40" s="60"/>
      <c r="AW40" s="7"/>
      <c r="AX40" s="7"/>
      <c r="AY40" s="7"/>
      <c r="AZ40" s="7"/>
      <c r="BA40" s="7"/>
      <c r="BB40" s="7"/>
      <c r="BC40" s="7"/>
    </row>
    <row r="41" spans="1:55">
      <c r="A41" t="s">
        <v>259</v>
      </c>
      <c r="B41" s="51">
        <v>14.25</v>
      </c>
      <c r="C41" t="str">
        <f>'[1]BQ ms'!G75</f>
        <v>grey</v>
      </c>
      <c r="D41">
        <v>300</v>
      </c>
      <c r="E41" s="52">
        <v>0.29980000000000001</v>
      </c>
      <c r="F41" s="49">
        <v>37.6</v>
      </c>
      <c r="G41" s="58" t="s">
        <v>260</v>
      </c>
      <c r="I41">
        <v>64.599999999999994</v>
      </c>
      <c r="J41">
        <v>75</v>
      </c>
      <c r="K41" s="2"/>
      <c r="P41" s="2">
        <v>2.5</v>
      </c>
      <c r="Q41" t="s">
        <v>261</v>
      </c>
      <c r="R41">
        <v>83</v>
      </c>
      <c r="S41">
        <v>-63</v>
      </c>
      <c r="T41" s="5">
        <v>129</v>
      </c>
      <c r="U41" s="5">
        <v>-5.3</v>
      </c>
      <c r="V41" t="s">
        <v>262</v>
      </c>
      <c r="W41" t="s">
        <v>82</v>
      </c>
      <c r="X41">
        <v>221</v>
      </c>
      <c r="Y41">
        <v>-20</v>
      </c>
      <c r="AA41" s="3">
        <v>218.2</v>
      </c>
      <c r="AB41" s="3">
        <v>16</v>
      </c>
      <c r="AI41" s="2" t="s">
        <v>263</v>
      </c>
      <c r="AO41" s="2"/>
      <c r="AR41" s="2" t="s">
        <v>137</v>
      </c>
      <c r="AT41" t="s">
        <v>181</v>
      </c>
      <c r="AU41" s="70"/>
      <c r="AV41" s="60"/>
      <c r="AW41" s="7"/>
      <c r="AX41" s="7"/>
      <c r="AY41" s="7"/>
      <c r="AZ41" s="7"/>
      <c r="BA41" s="7"/>
      <c r="BB41" s="7"/>
      <c r="BC41" s="7"/>
    </row>
    <row r="42" spans="1:55">
      <c r="A42" t="s">
        <v>264</v>
      </c>
      <c r="B42" s="51">
        <v>13.93</v>
      </c>
      <c r="C42" t="s">
        <v>265</v>
      </c>
      <c r="D42" t="s">
        <v>117</v>
      </c>
      <c r="E42" s="52">
        <v>0.128</v>
      </c>
      <c r="F42" s="49">
        <v>32.200000000000003</v>
      </c>
      <c r="G42" t="s">
        <v>58</v>
      </c>
      <c r="H42">
        <v>23.01</v>
      </c>
      <c r="I42">
        <v>64.599999999999994</v>
      </c>
      <c r="J42">
        <v>75</v>
      </c>
      <c r="K42" s="2" t="s">
        <v>266</v>
      </c>
      <c r="L42">
        <v>123</v>
      </c>
      <c r="M42">
        <v>26</v>
      </c>
      <c r="N42" s="3">
        <v>39</v>
      </c>
      <c r="O42" s="3">
        <v>58.5</v>
      </c>
      <c r="P42" s="2">
        <v>4.5</v>
      </c>
      <c r="Q42" t="s">
        <v>267</v>
      </c>
      <c r="R42">
        <v>6</v>
      </c>
      <c r="S42">
        <v>-23</v>
      </c>
      <c r="T42" s="5">
        <v>84.5</v>
      </c>
      <c r="U42" s="5">
        <v>-59.3</v>
      </c>
      <c r="V42" t="s">
        <v>268</v>
      </c>
      <c r="W42" s="2" t="s">
        <v>135</v>
      </c>
      <c r="X42">
        <v>235</v>
      </c>
      <c r="Y42">
        <v>-48</v>
      </c>
      <c r="AA42" s="3">
        <v>196.1</v>
      </c>
      <c r="AB42" s="3">
        <v>-4.9000000000000004</v>
      </c>
      <c r="AO42" s="2" t="s">
        <v>269</v>
      </c>
      <c r="AP42">
        <v>290</v>
      </c>
      <c r="AQ42">
        <v>22</v>
      </c>
      <c r="AR42" s="2" t="s">
        <v>65</v>
      </c>
      <c r="AS42" t="s">
        <v>87</v>
      </c>
      <c r="AT42" t="s">
        <v>168</v>
      </c>
      <c r="AU42" s="59"/>
      <c r="AV42" s="77"/>
      <c r="AW42" s="7"/>
      <c r="AX42">
        <v>83.5</v>
      </c>
      <c r="AY42" s="7">
        <v>350.7</v>
      </c>
      <c r="AZ42" s="7">
        <v>-50.5</v>
      </c>
      <c r="BA42" s="7"/>
      <c r="BB42" s="7"/>
      <c r="BC42" s="7"/>
    </row>
    <row r="43" spans="1:55">
      <c r="A43" t="s">
        <v>270</v>
      </c>
      <c r="B43" s="51">
        <v>15.03</v>
      </c>
      <c r="C43" t="s">
        <v>265</v>
      </c>
      <c r="D43" t="s">
        <v>90</v>
      </c>
      <c r="E43" s="57">
        <v>0.215</v>
      </c>
      <c r="F43" s="49">
        <v>33.299999999999997</v>
      </c>
      <c r="G43" t="s">
        <v>271</v>
      </c>
      <c r="H43">
        <v>23.36</v>
      </c>
      <c r="I43">
        <v>64.599999999999994</v>
      </c>
      <c r="J43">
        <v>75</v>
      </c>
      <c r="K43" s="2" t="s">
        <v>92</v>
      </c>
      <c r="L43">
        <v>130</v>
      </c>
      <c r="M43">
        <v>24</v>
      </c>
      <c r="N43" s="3">
        <v>39.5</v>
      </c>
      <c r="O43" s="3">
        <v>65.2</v>
      </c>
      <c r="P43" s="2">
        <v>1.7</v>
      </c>
      <c r="Q43" s="63"/>
      <c r="U43" s="5" t="s">
        <v>69</v>
      </c>
      <c r="W43" s="2" t="s">
        <v>147</v>
      </c>
      <c r="X43">
        <v>253</v>
      </c>
      <c r="Y43">
        <v>-45</v>
      </c>
      <c r="AA43" s="3">
        <v>201.4</v>
      </c>
      <c r="AB43" s="3">
        <v>-16.399999999999999</v>
      </c>
      <c r="AC43" s="54" t="s">
        <v>227</v>
      </c>
      <c r="AD43">
        <v>241</v>
      </c>
      <c r="AE43">
        <v>5</v>
      </c>
      <c r="AF43" t="s">
        <v>39</v>
      </c>
      <c r="AG43" s="6">
        <v>248.5</v>
      </c>
      <c r="AH43" s="6">
        <v>4.8</v>
      </c>
      <c r="AO43" s="54"/>
      <c r="AR43" s="2" t="s">
        <v>63</v>
      </c>
      <c r="AT43" t="s">
        <v>181</v>
      </c>
      <c r="AU43" s="72"/>
      <c r="AV43" s="60"/>
      <c r="AW43" s="7"/>
      <c r="AX43" s="7"/>
      <c r="AY43" s="7"/>
      <c r="AZ43" s="7"/>
      <c r="BA43" s="7"/>
      <c r="BB43" s="7"/>
      <c r="BC43" s="7"/>
    </row>
    <row r="44" spans="1:55">
      <c r="A44" t="s">
        <v>272</v>
      </c>
      <c r="B44" s="51">
        <v>15.03</v>
      </c>
      <c r="C44" t="str">
        <f>C43</f>
        <v>d.grey sst</v>
      </c>
      <c r="D44" t="s">
        <v>174</v>
      </c>
      <c r="E44" s="57">
        <v>0.15279999999999999</v>
      </c>
      <c r="F44" s="49">
        <v>31.6</v>
      </c>
      <c r="G44" t="s">
        <v>273</v>
      </c>
      <c r="I44">
        <v>64.599999999999994</v>
      </c>
      <c r="J44">
        <v>75</v>
      </c>
      <c r="K44" s="2" t="s">
        <v>133</v>
      </c>
      <c r="L44">
        <v>136</v>
      </c>
      <c r="M44">
        <v>22</v>
      </c>
      <c r="N44" s="3">
        <v>40.200000000000003</v>
      </c>
      <c r="O44" s="3">
        <v>71</v>
      </c>
      <c r="P44" s="2">
        <v>2.5</v>
      </c>
      <c r="Q44" s="63" t="s">
        <v>180</v>
      </c>
      <c r="R44">
        <v>127</v>
      </c>
      <c r="S44">
        <v>51</v>
      </c>
      <c r="T44" s="5">
        <v>0.3</v>
      </c>
      <c r="U44" s="5">
        <v>47.7</v>
      </c>
      <c r="W44" s="2" t="s">
        <v>274</v>
      </c>
      <c r="X44">
        <v>250</v>
      </c>
      <c r="Y44">
        <v>-42</v>
      </c>
      <c r="AA44" s="3">
        <v>204.3</v>
      </c>
      <c r="AB44" s="3">
        <v>-13.9</v>
      </c>
      <c r="AC44" s="54"/>
      <c r="AO44" s="54" t="s">
        <v>78</v>
      </c>
      <c r="AP44">
        <v>312</v>
      </c>
      <c r="AQ44">
        <v>34</v>
      </c>
      <c r="AR44" s="2" t="s">
        <v>113</v>
      </c>
      <c r="AT44" t="s">
        <v>114</v>
      </c>
      <c r="AU44" s="72"/>
      <c r="AV44" s="60"/>
      <c r="AW44" s="7">
        <v>-47.7</v>
      </c>
      <c r="AX44" s="7"/>
      <c r="AY44" s="7"/>
      <c r="AZ44" s="7"/>
      <c r="BA44" s="7"/>
      <c r="BB44" s="7"/>
      <c r="BC44" s="7"/>
    </row>
    <row r="45" spans="1:55">
      <c r="A45" t="s">
        <v>275</v>
      </c>
      <c r="B45" s="51">
        <v>16.36</v>
      </c>
      <c r="C45" t="s">
        <v>240</v>
      </c>
      <c r="D45" t="s">
        <v>276</v>
      </c>
      <c r="E45" s="74">
        <v>3.66</v>
      </c>
      <c r="F45" s="49">
        <v>24.4</v>
      </c>
      <c r="G45" t="s">
        <v>277</v>
      </c>
      <c r="I45">
        <v>64.599999999999994</v>
      </c>
      <c r="J45">
        <v>75</v>
      </c>
      <c r="K45" s="2"/>
      <c r="P45" s="2">
        <v>0.7</v>
      </c>
      <c r="Q45" t="s">
        <v>278</v>
      </c>
      <c r="R45">
        <v>249</v>
      </c>
      <c r="S45">
        <v>57</v>
      </c>
      <c r="T45" s="5">
        <v>301.10000000000002</v>
      </c>
      <c r="U45" s="5">
        <v>10.199999999999999</v>
      </c>
      <c r="V45" t="s">
        <v>121</v>
      </c>
      <c r="W45" s="2"/>
      <c r="AC45" s="2" t="s">
        <v>279</v>
      </c>
      <c r="AD45">
        <v>267</v>
      </c>
      <c r="AE45">
        <v>18</v>
      </c>
      <c r="AF45" t="s">
        <v>40</v>
      </c>
      <c r="AG45" s="6">
        <v>268.60000000000002</v>
      </c>
      <c r="AH45" s="6">
        <v>-15.7</v>
      </c>
      <c r="AO45" s="2" t="s">
        <v>280</v>
      </c>
      <c r="AP45">
        <v>271</v>
      </c>
      <c r="AQ45">
        <v>-33</v>
      </c>
      <c r="AR45" s="2" t="s">
        <v>65</v>
      </c>
      <c r="AS45" t="s">
        <v>87</v>
      </c>
      <c r="AT45" t="s">
        <v>123</v>
      </c>
      <c r="AU45" s="64"/>
      <c r="AV45" s="60"/>
      <c r="AW45" s="7"/>
      <c r="AX45">
        <v>-57.6</v>
      </c>
      <c r="AY45" s="7">
        <f>31.8+180</f>
        <v>211.8</v>
      </c>
      <c r="AZ45" s="7">
        <v>38.299999999999997</v>
      </c>
      <c r="BA45" s="7"/>
      <c r="BB45" s="7"/>
      <c r="BC45" s="7"/>
    </row>
    <row r="46" spans="1:55">
      <c r="A46" t="s">
        <v>281</v>
      </c>
      <c r="B46" s="51">
        <v>17.7</v>
      </c>
      <c r="C46" t="str">
        <f>'[1]BQ ms'!G82</f>
        <v>grey</v>
      </c>
      <c r="D46" t="s">
        <v>174</v>
      </c>
      <c r="E46" s="78">
        <v>0.3528</v>
      </c>
      <c r="F46" s="49">
        <v>34.6</v>
      </c>
      <c r="G46" t="s">
        <v>282</v>
      </c>
      <c r="I46">
        <v>64.599999999999994</v>
      </c>
      <c r="J46">
        <v>75</v>
      </c>
      <c r="P46" s="2">
        <v>4</v>
      </c>
      <c r="Q46" t="s">
        <v>215</v>
      </c>
      <c r="R46">
        <v>116</v>
      </c>
      <c r="S46">
        <v>57</v>
      </c>
      <c r="T46" s="67">
        <v>0.5</v>
      </c>
      <c r="U46" s="67">
        <v>38.9</v>
      </c>
      <c r="V46" t="s">
        <v>210</v>
      </c>
      <c r="W46" s="2" t="s">
        <v>266</v>
      </c>
      <c r="X46">
        <v>213</v>
      </c>
      <c r="Y46">
        <v>-22</v>
      </c>
      <c r="AA46" s="3">
        <v>212.9</v>
      </c>
      <c r="AB46" s="3">
        <v>21.9</v>
      </c>
      <c r="AC46" s="2" t="s">
        <v>283</v>
      </c>
      <c r="AD46">
        <v>308</v>
      </c>
      <c r="AE46">
        <v>38</v>
      </c>
      <c r="AG46" s="6">
        <v>310.2</v>
      </c>
      <c r="AH46" s="6">
        <v>-31.4</v>
      </c>
      <c r="AI46" s="2" t="s">
        <v>284</v>
      </c>
      <c r="AJ46">
        <v>126</v>
      </c>
      <c r="AK46">
        <v>5</v>
      </c>
      <c r="AL46" t="s">
        <v>103</v>
      </c>
      <c r="AM46">
        <v>81.2</v>
      </c>
      <c r="AN46">
        <v>60.2</v>
      </c>
      <c r="AO46" s="2" t="s">
        <v>285</v>
      </c>
      <c r="AP46">
        <v>122</v>
      </c>
      <c r="AQ46">
        <v>-30</v>
      </c>
      <c r="AR46" s="2" t="s">
        <v>105</v>
      </c>
      <c r="AS46" t="s">
        <v>87</v>
      </c>
      <c r="AT46" t="s">
        <v>114</v>
      </c>
      <c r="AU46" s="72"/>
      <c r="AV46" s="60"/>
      <c r="AW46" s="7"/>
      <c r="AX46">
        <v>-82.8</v>
      </c>
      <c r="AY46" s="7">
        <f>350.9-180</f>
        <v>170.89999999999998</v>
      </c>
      <c r="AZ46" s="7">
        <v>48.7</v>
      </c>
      <c r="BA46" s="7"/>
      <c r="BB46" s="7"/>
      <c r="BC46" s="7"/>
    </row>
    <row r="47" spans="1:55">
      <c r="A47" t="s">
        <v>286</v>
      </c>
      <c r="B47" s="51">
        <v>18.63</v>
      </c>
      <c r="C47" t="s">
        <v>265</v>
      </c>
      <c r="D47" t="s">
        <v>117</v>
      </c>
      <c r="E47" s="57">
        <v>9.2999999999999999E-2</v>
      </c>
      <c r="F47" s="49">
        <v>37.1</v>
      </c>
      <c r="G47" t="s">
        <v>287</v>
      </c>
      <c r="H47">
        <v>23.4</v>
      </c>
      <c r="I47">
        <v>64.599999999999994</v>
      </c>
      <c r="J47">
        <v>75</v>
      </c>
      <c r="K47" s="2" t="s">
        <v>59</v>
      </c>
      <c r="L47">
        <v>97</v>
      </c>
      <c r="M47">
        <v>7</v>
      </c>
      <c r="N47" s="3">
        <v>66</v>
      </c>
      <c r="O47" s="3">
        <v>33</v>
      </c>
      <c r="P47" s="2">
        <v>3</v>
      </c>
      <c r="Q47" s="63" t="s">
        <v>288</v>
      </c>
      <c r="R47" s="53">
        <v>33</v>
      </c>
      <c r="S47" s="53">
        <v>-35</v>
      </c>
      <c r="T47" s="5">
        <v>97</v>
      </c>
      <c r="U47" s="5">
        <v>-34.299999999999997</v>
      </c>
      <c r="V47" t="s">
        <v>289</v>
      </c>
      <c r="W47" s="2" t="s">
        <v>122</v>
      </c>
      <c r="X47">
        <v>249</v>
      </c>
      <c r="Y47">
        <v>-35</v>
      </c>
      <c r="AA47" s="3">
        <v>211.2</v>
      </c>
      <c r="AB47" s="3">
        <v>-12.1</v>
      </c>
      <c r="AC47" s="2" t="s">
        <v>290</v>
      </c>
      <c r="AD47" s="53">
        <v>198</v>
      </c>
      <c r="AE47" s="53">
        <v>15</v>
      </c>
      <c r="AF47" t="s">
        <v>39</v>
      </c>
      <c r="AG47" s="6">
        <v>250.5</v>
      </c>
      <c r="AH47" s="6">
        <v>48.1</v>
      </c>
      <c r="AO47" s="54" t="s">
        <v>120</v>
      </c>
      <c r="AP47">
        <v>275</v>
      </c>
      <c r="AQ47">
        <v>-42</v>
      </c>
      <c r="AR47" s="2" t="s">
        <v>113</v>
      </c>
      <c r="AS47" t="s">
        <v>106</v>
      </c>
      <c r="AT47" t="s">
        <v>168</v>
      </c>
      <c r="AU47" s="59"/>
      <c r="AV47" s="77"/>
      <c r="AW47" s="7">
        <v>55.5</v>
      </c>
      <c r="AX47" s="51"/>
      <c r="AY47" s="66"/>
      <c r="AZ47" s="66"/>
      <c r="BA47" s="66"/>
      <c r="BB47" s="66"/>
      <c r="BC47" s="7"/>
    </row>
    <row r="48" spans="1:55">
      <c r="A48" t="s">
        <v>291</v>
      </c>
      <c r="B48" s="51">
        <v>20.869999999999997</v>
      </c>
      <c r="C48" t="str">
        <f>'[1]BQ ms'!G88</f>
        <v>grey</v>
      </c>
      <c r="D48">
        <v>300</v>
      </c>
      <c r="E48" s="57">
        <v>0.26419999999999999</v>
      </c>
      <c r="F48" s="49">
        <v>37.6</v>
      </c>
      <c r="G48" s="58" t="s">
        <v>292</v>
      </c>
      <c r="I48">
        <v>64.599999999999994</v>
      </c>
      <c r="J48">
        <v>75</v>
      </c>
      <c r="K48" s="2"/>
      <c r="P48" s="2">
        <v>3</v>
      </c>
      <c r="Q48" s="63"/>
      <c r="R48" s="53"/>
      <c r="S48" s="53"/>
      <c r="T48" s="67"/>
      <c r="U48" s="67" t="s">
        <v>69</v>
      </c>
      <c r="W48" s="2" t="s">
        <v>293</v>
      </c>
      <c r="X48">
        <v>262</v>
      </c>
      <c r="Y48">
        <v>-9</v>
      </c>
      <c r="AA48" s="3">
        <v>240.1</v>
      </c>
      <c r="AB48" s="3">
        <v>-19</v>
      </c>
      <c r="AD48" s="53"/>
      <c r="AE48" s="53"/>
      <c r="AI48" s="2" t="s">
        <v>294</v>
      </c>
      <c r="AJ48">
        <v>176</v>
      </c>
      <c r="AK48">
        <v>-29</v>
      </c>
      <c r="AL48" t="s">
        <v>40</v>
      </c>
      <c r="AM48">
        <v>179.8</v>
      </c>
      <c r="AN48">
        <v>41.4</v>
      </c>
      <c r="AO48" s="54"/>
      <c r="AR48" s="2" t="s">
        <v>63</v>
      </c>
      <c r="AT48" t="s">
        <v>181</v>
      </c>
      <c r="AU48" s="70"/>
      <c r="AV48" s="60"/>
      <c r="AW48" s="7"/>
      <c r="AX48" s="51"/>
      <c r="AY48" s="66"/>
      <c r="AZ48" s="66"/>
      <c r="BA48" s="66"/>
      <c r="BB48" s="66"/>
      <c r="BC48" s="7"/>
    </row>
    <row r="49" spans="1:55">
      <c r="A49" t="s">
        <v>295</v>
      </c>
      <c r="B49" s="51">
        <v>22.46</v>
      </c>
      <c r="C49" t="s">
        <v>240</v>
      </c>
      <c r="D49" t="s">
        <v>296</v>
      </c>
      <c r="E49" s="74">
        <v>0.84</v>
      </c>
      <c r="F49" s="49">
        <v>31.2</v>
      </c>
      <c r="G49" t="s">
        <v>297</v>
      </c>
      <c r="H49">
        <v>22.489000000000001</v>
      </c>
      <c r="I49">
        <v>64.599999999999994</v>
      </c>
      <c r="J49">
        <v>75</v>
      </c>
      <c r="K49" s="2"/>
      <c r="P49" s="2">
        <v>1</v>
      </c>
      <c r="U49" s="5" t="s">
        <v>69</v>
      </c>
      <c r="V49" s="63" t="s">
        <v>298</v>
      </c>
      <c r="W49" s="2"/>
      <c r="AC49" s="2" t="s">
        <v>92</v>
      </c>
      <c r="AD49" s="53">
        <v>205</v>
      </c>
      <c r="AE49" s="53">
        <v>45</v>
      </c>
      <c r="AF49" t="s">
        <v>39</v>
      </c>
      <c r="AG49" s="6">
        <v>290.7</v>
      </c>
      <c r="AH49" s="6">
        <v>38.200000000000003</v>
      </c>
      <c r="AO49" s="2"/>
      <c r="AR49" s="2" t="s">
        <v>299</v>
      </c>
      <c r="AT49" t="s">
        <v>181</v>
      </c>
      <c r="AU49" s="70"/>
      <c r="AV49" s="60"/>
      <c r="AW49" s="7"/>
      <c r="AX49" s="7"/>
      <c r="AY49" s="7"/>
      <c r="AZ49" s="7"/>
      <c r="BA49" s="7"/>
      <c r="BB49" s="7"/>
      <c r="BC49" s="7"/>
    </row>
    <row r="50" spans="1:55">
      <c r="A50" t="s">
        <v>300</v>
      </c>
      <c r="B50" s="51">
        <v>24.03</v>
      </c>
      <c r="C50" t="s">
        <v>265</v>
      </c>
      <c r="D50" s="58" t="s">
        <v>301</v>
      </c>
      <c r="E50" s="57">
        <v>5.8999999999999997E-2</v>
      </c>
      <c r="F50" s="49">
        <v>30.7</v>
      </c>
      <c r="G50" s="58" t="s">
        <v>302</v>
      </c>
      <c r="H50">
        <v>25.03</v>
      </c>
      <c r="I50">
        <v>64.599999999999994</v>
      </c>
      <c r="J50">
        <v>75</v>
      </c>
      <c r="K50" s="2" t="s">
        <v>59</v>
      </c>
      <c r="L50">
        <v>259</v>
      </c>
      <c r="M50">
        <v>72</v>
      </c>
      <c r="N50" s="3">
        <v>316.89999999999998</v>
      </c>
      <c r="O50" s="3">
        <v>9.9</v>
      </c>
      <c r="P50" s="2">
        <v>1</v>
      </c>
      <c r="U50" s="5" t="s">
        <v>69</v>
      </c>
      <c r="V50" t="s">
        <v>121</v>
      </c>
      <c r="W50" s="54" t="s">
        <v>78</v>
      </c>
      <c r="X50">
        <v>179</v>
      </c>
      <c r="Y50">
        <v>-45</v>
      </c>
      <c r="AA50" s="3">
        <v>173.6</v>
      </c>
      <c r="AB50" s="3">
        <v>26</v>
      </c>
      <c r="AO50" s="54"/>
      <c r="AR50" s="2" t="s">
        <v>190</v>
      </c>
      <c r="AT50" t="s">
        <v>181</v>
      </c>
      <c r="AU50" s="70"/>
      <c r="AV50" s="60"/>
      <c r="AW50" s="7"/>
      <c r="AX50" s="7"/>
      <c r="AY50" s="7"/>
      <c r="AZ50" s="7"/>
      <c r="BA50" s="7"/>
      <c r="BB50" s="7"/>
      <c r="BC50" s="7"/>
    </row>
    <row r="51" spans="1:55">
      <c r="A51" t="s">
        <v>303</v>
      </c>
      <c r="B51" s="51">
        <v>24.95</v>
      </c>
      <c r="C51" t="str">
        <f>'[1]BQ ms'!G101</f>
        <v>grey</v>
      </c>
      <c r="D51" s="7" t="s">
        <v>174</v>
      </c>
      <c r="E51" s="78">
        <v>0.17699999999999999</v>
      </c>
      <c r="F51" s="81">
        <v>38.5</v>
      </c>
      <c r="G51" s="7" t="s">
        <v>304</v>
      </c>
      <c r="I51">
        <v>64.599999999999994</v>
      </c>
      <c r="J51">
        <v>75</v>
      </c>
      <c r="K51" s="73"/>
      <c r="P51" s="2">
        <v>2</v>
      </c>
      <c r="U51" s="5" t="s">
        <v>69</v>
      </c>
      <c r="W51" s="82" t="s">
        <v>59</v>
      </c>
      <c r="X51">
        <v>285</v>
      </c>
      <c r="Y51">
        <v>-41</v>
      </c>
      <c r="AA51" s="3">
        <v>203.2</v>
      </c>
      <c r="AB51" s="3">
        <v>-40</v>
      </c>
      <c r="AC51" s="2" t="s">
        <v>249</v>
      </c>
      <c r="AD51">
        <v>63</v>
      </c>
      <c r="AE51">
        <v>-30</v>
      </c>
      <c r="AF51" t="s">
        <v>39</v>
      </c>
      <c r="AG51" s="6">
        <v>93.4</v>
      </c>
      <c r="AH51" s="6">
        <v>-8.8000000000000007</v>
      </c>
      <c r="AO51" s="54"/>
      <c r="AR51" s="2" t="s">
        <v>39</v>
      </c>
      <c r="AT51" t="s">
        <v>181</v>
      </c>
      <c r="AU51" s="70"/>
      <c r="AV51" s="60"/>
      <c r="AW51" s="7"/>
      <c r="AX51" s="7"/>
      <c r="AY51" s="7"/>
      <c r="AZ51" s="7"/>
      <c r="BA51" s="7"/>
      <c r="BB51" s="7"/>
      <c r="BC51" s="7"/>
    </row>
    <row r="52" spans="1:55" s="79" customFormat="1">
      <c r="A52" s="79" t="s">
        <v>305</v>
      </c>
      <c r="B52" s="84">
        <v>19.59</v>
      </c>
      <c r="C52" s="79" t="s">
        <v>125</v>
      </c>
      <c r="D52" s="79" t="s">
        <v>90</v>
      </c>
      <c r="E52" s="85">
        <v>0.17399999999999999</v>
      </c>
      <c r="F52" s="86">
        <v>38.299999999999997</v>
      </c>
      <c r="G52" s="79" t="s">
        <v>306</v>
      </c>
      <c r="H52" s="79">
        <v>24.23</v>
      </c>
      <c r="I52">
        <v>66.599999999999994</v>
      </c>
      <c r="J52">
        <v>81</v>
      </c>
      <c r="P52" s="87">
        <v>1.4</v>
      </c>
      <c r="Q52" s="88" t="s">
        <v>307</v>
      </c>
      <c r="R52" s="79">
        <v>161</v>
      </c>
      <c r="S52" s="79">
        <v>65</v>
      </c>
      <c r="T52" s="5">
        <v>334.4</v>
      </c>
      <c r="U52" s="5">
        <v>33.9</v>
      </c>
      <c r="V52" s="79" t="s">
        <v>308</v>
      </c>
      <c r="AC52" s="90" t="s">
        <v>77</v>
      </c>
      <c r="AD52" s="91">
        <v>346</v>
      </c>
      <c r="AE52" s="91">
        <v>-40</v>
      </c>
      <c r="AF52" s="79" t="s">
        <v>40</v>
      </c>
      <c r="AG52" s="3">
        <v>143</v>
      </c>
      <c r="AH52" s="3">
        <v>-57.9</v>
      </c>
      <c r="AI52" s="87" t="s">
        <v>92</v>
      </c>
      <c r="AJ52" s="79">
        <v>359</v>
      </c>
      <c r="AK52" s="79">
        <v>71</v>
      </c>
      <c r="AL52" s="93" t="s">
        <v>96</v>
      </c>
      <c r="AM52" s="3">
        <v>343.8</v>
      </c>
      <c r="AN52" s="3">
        <v>-8.6</v>
      </c>
      <c r="AO52" s="94" t="s">
        <v>104</v>
      </c>
      <c r="AP52" s="79">
        <v>56</v>
      </c>
      <c r="AQ52" s="79">
        <v>11</v>
      </c>
      <c r="AR52" s="87" t="s">
        <v>113</v>
      </c>
      <c r="AS52" s="79" t="s">
        <v>66</v>
      </c>
      <c r="AT52" s="79" t="s">
        <v>309</v>
      </c>
      <c r="AU52" s="95"/>
      <c r="AV52" s="96"/>
      <c r="AW52" s="7">
        <v>-71.8</v>
      </c>
      <c r="AX52" s="51"/>
      <c r="AY52" s="66"/>
      <c r="AZ52" s="66"/>
      <c r="BA52" s="66"/>
      <c r="BB52" s="66"/>
      <c r="BC52" s="92"/>
    </row>
    <row r="53" spans="1:55" s="73" customFormat="1">
      <c r="A53" s="53" t="s">
        <v>310</v>
      </c>
      <c r="B53" s="97">
        <v>20.939999999999998</v>
      </c>
      <c r="C53" s="73" t="str">
        <f>'[1]BQ ms'!G90</f>
        <v>grey sst</v>
      </c>
      <c r="D53" s="73">
        <v>350</v>
      </c>
      <c r="E53" s="57">
        <v>0.25700000000000001</v>
      </c>
      <c r="F53" s="98">
        <v>42.9</v>
      </c>
      <c r="G53" s="99" t="s">
        <v>311</v>
      </c>
      <c r="I53">
        <v>66.599999999999994</v>
      </c>
      <c r="J53">
        <v>81</v>
      </c>
      <c r="K53" s="73" t="s">
        <v>76</v>
      </c>
      <c r="L53" s="73">
        <v>133</v>
      </c>
      <c r="M53" s="73">
        <v>-7</v>
      </c>
      <c r="N53" s="3">
        <v>100.1</v>
      </c>
      <c r="O53" s="3">
        <v>61.6</v>
      </c>
      <c r="P53" s="2">
        <v>2</v>
      </c>
      <c r="Q53" s="82" t="s">
        <v>141</v>
      </c>
      <c r="R53" s="73">
        <v>144</v>
      </c>
      <c r="S53" s="73">
        <v>44</v>
      </c>
      <c r="T53" s="5">
        <v>351.8</v>
      </c>
      <c r="U53" s="5">
        <v>53.3</v>
      </c>
      <c r="V53" s="53" t="s">
        <v>121</v>
      </c>
      <c r="W53" s="53"/>
      <c r="X53" s="53"/>
      <c r="Y53" s="53"/>
      <c r="AA53" s="3"/>
      <c r="AB53" s="3"/>
      <c r="AC53" s="53" t="s">
        <v>312</v>
      </c>
      <c r="AD53" s="53">
        <v>135</v>
      </c>
      <c r="AE53" s="53">
        <v>-32</v>
      </c>
      <c r="AF53" s="53" t="s">
        <v>39</v>
      </c>
      <c r="AG53" s="3">
        <v>130.80000000000001</v>
      </c>
      <c r="AH53" s="3">
        <v>44.1</v>
      </c>
      <c r="AI53" s="71"/>
      <c r="AJ53" s="53"/>
      <c r="AK53" s="53"/>
      <c r="AL53" s="53"/>
      <c r="AM53" s="3"/>
      <c r="AN53" s="3"/>
      <c r="AO53" s="54" t="s">
        <v>313</v>
      </c>
      <c r="AP53" s="73">
        <v>229</v>
      </c>
      <c r="AQ53" s="73">
        <v>-16</v>
      </c>
      <c r="AR53" s="2" t="s">
        <v>113</v>
      </c>
      <c r="AT53" s="53" t="s">
        <v>114</v>
      </c>
      <c r="AU53" s="64"/>
      <c r="AV53" s="60"/>
      <c r="AW53" s="7">
        <v>-59.8</v>
      </c>
      <c r="AX53" s="51"/>
      <c r="AY53" s="66"/>
      <c r="AZ53" s="66"/>
      <c r="BA53" s="66"/>
      <c r="BB53" s="66"/>
      <c r="BC53" s="53"/>
    </row>
    <row r="54" spans="1:55" s="73" customFormat="1">
      <c r="A54" s="53" t="s">
        <v>314</v>
      </c>
      <c r="B54" s="97">
        <v>22.13</v>
      </c>
      <c r="C54" s="73" t="str">
        <f>'[1]BQ ms'!G92</f>
        <v>grey sst</v>
      </c>
      <c r="D54" s="73">
        <v>350</v>
      </c>
      <c r="E54" s="57">
        <v>0.21199999999999999</v>
      </c>
      <c r="F54" s="98">
        <v>45.7</v>
      </c>
      <c r="G54" s="99" t="s">
        <v>315</v>
      </c>
      <c r="I54">
        <v>66.599999999999994</v>
      </c>
      <c r="J54">
        <v>81</v>
      </c>
      <c r="P54" s="2">
        <v>2</v>
      </c>
      <c r="Q54" s="82" t="s">
        <v>316</v>
      </c>
      <c r="R54" s="73">
        <v>133</v>
      </c>
      <c r="S54" s="73">
        <v>38</v>
      </c>
      <c r="T54" s="67">
        <v>9.1</v>
      </c>
      <c r="U54" s="67">
        <v>54</v>
      </c>
      <c r="V54" s="53" t="s">
        <v>317</v>
      </c>
      <c r="W54" s="53" t="s">
        <v>243</v>
      </c>
      <c r="X54" s="53">
        <v>267</v>
      </c>
      <c r="Y54" s="53">
        <v>-50</v>
      </c>
      <c r="AA54" s="3">
        <v>196.5</v>
      </c>
      <c r="AB54" s="3">
        <v>-19.899999999999999</v>
      </c>
      <c r="AC54" s="71" t="s">
        <v>318</v>
      </c>
      <c r="AD54" s="53">
        <v>27</v>
      </c>
      <c r="AE54" s="53">
        <v>28</v>
      </c>
      <c r="AF54" s="53" t="s">
        <v>40</v>
      </c>
      <c r="AG54" s="6">
        <v>27.6</v>
      </c>
      <c r="AH54" s="6">
        <v>-28.8</v>
      </c>
      <c r="AI54" s="71"/>
      <c r="AJ54" s="53"/>
      <c r="AK54" s="53"/>
      <c r="AL54" s="53"/>
      <c r="AM54" s="3"/>
      <c r="AN54" s="3"/>
      <c r="AO54" s="54" t="s">
        <v>316</v>
      </c>
      <c r="AP54" s="73">
        <v>132</v>
      </c>
      <c r="AQ54" s="73">
        <v>-52</v>
      </c>
      <c r="AR54" s="2" t="s">
        <v>113</v>
      </c>
      <c r="AT54" s="53" t="s">
        <v>309</v>
      </c>
      <c r="AU54" s="72"/>
      <c r="AV54" s="100"/>
      <c r="AW54" s="7">
        <v>-48.8</v>
      </c>
      <c r="AX54" s="51"/>
      <c r="AY54" s="66"/>
      <c r="AZ54" s="66"/>
      <c r="BA54" s="66"/>
      <c r="BB54" s="66"/>
      <c r="BC54" s="53"/>
    </row>
    <row r="55" spans="1:55" s="73" customFormat="1">
      <c r="A55" s="53" t="s">
        <v>319</v>
      </c>
      <c r="B55" s="97">
        <v>23.42</v>
      </c>
      <c r="C55" s="73" t="str">
        <f>'[1]BQ ms'!G96</f>
        <v>grey</v>
      </c>
      <c r="D55" s="73">
        <v>300</v>
      </c>
      <c r="E55" s="57">
        <v>0.45660000000000001</v>
      </c>
      <c r="F55" s="98">
        <v>46.4</v>
      </c>
      <c r="G55" s="99" t="s">
        <v>320</v>
      </c>
      <c r="I55">
        <v>66.599999999999994</v>
      </c>
      <c r="J55">
        <v>81</v>
      </c>
      <c r="P55" s="2">
        <v>2.5</v>
      </c>
      <c r="Q55" s="82"/>
      <c r="T55" s="101"/>
      <c r="U55" s="101" t="s">
        <v>69</v>
      </c>
      <c r="V55" s="53" t="s">
        <v>121</v>
      </c>
      <c r="W55" s="53" t="s">
        <v>321</v>
      </c>
      <c r="X55" s="53">
        <v>238</v>
      </c>
      <c r="Y55" s="53">
        <v>-54</v>
      </c>
      <c r="AA55" s="3">
        <v>192.2</v>
      </c>
      <c r="AB55" s="3">
        <v>-2.2999999999999998</v>
      </c>
      <c r="AC55" s="102" t="s">
        <v>227</v>
      </c>
      <c r="AD55" s="53">
        <v>257</v>
      </c>
      <c r="AE55" s="53">
        <v>21</v>
      </c>
      <c r="AF55" s="53" t="s">
        <v>39</v>
      </c>
      <c r="AG55" s="6">
        <v>269.10000000000002</v>
      </c>
      <c r="AH55" s="6">
        <v>-6.3</v>
      </c>
      <c r="AI55" s="71" t="s">
        <v>322</v>
      </c>
      <c r="AJ55" s="53">
        <v>92</v>
      </c>
      <c r="AK55" s="53">
        <v>-43</v>
      </c>
      <c r="AL55" s="53" t="s">
        <v>39</v>
      </c>
      <c r="AM55">
        <v>114.2</v>
      </c>
      <c r="AN55">
        <v>11.7</v>
      </c>
      <c r="AO55" s="54"/>
      <c r="AR55" s="2"/>
      <c r="AT55" s="53" t="s">
        <v>181</v>
      </c>
      <c r="AU55" s="70"/>
      <c r="AV55" s="60"/>
      <c r="AW55" s="7"/>
      <c r="AX55" s="51"/>
      <c r="AY55" s="66"/>
      <c r="AZ55" s="66"/>
      <c r="BA55" s="66"/>
      <c r="BB55" s="66"/>
      <c r="BC55" s="53"/>
    </row>
    <row r="56" spans="1:55" s="73" customFormat="1">
      <c r="A56" s="53" t="s">
        <v>323</v>
      </c>
      <c r="B56" s="97">
        <v>24.509999999999998</v>
      </c>
      <c r="C56" s="73" t="str">
        <f>'[1]BQ ms'!G99</f>
        <v>grey</v>
      </c>
      <c r="D56" s="53">
        <v>300</v>
      </c>
      <c r="E56" s="57">
        <v>0.26169999999999999</v>
      </c>
      <c r="F56" s="98">
        <v>28.8</v>
      </c>
      <c r="G56" s="99" t="s">
        <v>324</v>
      </c>
      <c r="I56">
        <v>66.599999999999994</v>
      </c>
      <c r="J56">
        <v>81</v>
      </c>
      <c r="P56" s="2">
        <v>2.5</v>
      </c>
      <c r="Q56" s="82" t="s">
        <v>325</v>
      </c>
      <c r="R56" s="53">
        <v>30</v>
      </c>
      <c r="S56" s="53">
        <v>-72</v>
      </c>
      <c r="T56" s="67">
        <v>141.4</v>
      </c>
      <c r="U56" s="67">
        <v>-19.3</v>
      </c>
      <c r="V56" s="53" t="s">
        <v>121</v>
      </c>
      <c r="W56" s="53" t="s">
        <v>122</v>
      </c>
      <c r="X56" s="53">
        <v>257</v>
      </c>
      <c r="Y56" s="53">
        <v>-33</v>
      </c>
      <c r="AA56" s="3">
        <v>214.7</v>
      </c>
      <c r="AB56" s="3">
        <v>-13.6</v>
      </c>
      <c r="AC56" s="71"/>
      <c r="AD56" s="53"/>
      <c r="AE56" s="53"/>
      <c r="AF56" s="53"/>
      <c r="AG56" s="103"/>
      <c r="AH56" s="103"/>
      <c r="AI56" s="71"/>
      <c r="AJ56" s="53"/>
      <c r="AK56" s="53"/>
      <c r="AL56" s="53"/>
      <c r="AM56" s="3"/>
      <c r="AN56" s="3"/>
      <c r="AO56" s="54" t="s">
        <v>313</v>
      </c>
      <c r="AP56" s="53">
        <v>312</v>
      </c>
      <c r="AQ56" s="53">
        <v>23</v>
      </c>
      <c r="AR56" s="2" t="s">
        <v>159</v>
      </c>
      <c r="AS56" s="73" t="s">
        <v>66</v>
      </c>
      <c r="AT56" s="53" t="s">
        <v>67</v>
      </c>
      <c r="AU56" s="59"/>
      <c r="AV56" s="60"/>
      <c r="AW56" s="7"/>
      <c r="AX56">
        <v>85.1</v>
      </c>
      <c r="AY56" s="7">
        <v>2.5</v>
      </c>
      <c r="AZ56" s="7">
        <v>-56.3</v>
      </c>
      <c r="BA56" s="7"/>
      <c r="BB56" s="7"/>
      <c r="BC56" s="53"/>
    </row>
    <row r="57" spans="1:55">
      <c r="A57" t="s">
        <v>326</v>
      </c>
      <c r="B57" s="51">
        <v>26.02</v>
      </c>
      <c r="C57" t="s">
        <v>240</v>
      </c>
      <c r="D57" t="s">
        <v>241</v>
      </c>
      <c r="E57" s="74">
        <v>4.6550000000000002</v>
      </c>
      <c r="F57" s="49">
        <v>34</v>
      </c>
      <c r="G57" t="s">
        <v>327</v>
      </c>
      <c r="H57">
        <v>26.370999999999999</v>
      </c>
      <c r="I57">
        <v>66.599999999999994</v>
      </c>
      <c r="J57">
        <v>81</v>
      </c>
      <c r="K57" s="2"/>
      <c r="P57" s="71">
        <v>1.2</v>
      </c>
      <c r="Q57" s="54" t="s">
        <v>244</v>
      </c>
      <c r="R57">
        <v>346</v>
      </c>
      <c r="S57">
        <v>-52</v>
      </c>
      <c r="T57" s="5">
        <v>148.19999999999999</v>
      </c>
      <c r="U57" s="5">
        <v>-46.3</v>
      </c>
      <c r="V57" t="s">
        <v>121</v>
      </c>
      <c r="W57" s="2" t="s">
        <v>321</v>
      </c>
      <c r="X57" s="53">
        <v>254</v>
      </c>
      <c r="Y57" s="53">
        <v>-15</v>
      </c>
      <c r="Z57" s="53"/>
      <c r="AA57" s="3">
        <v>232.7</v>
      </c>
      <c r="AB57" s="3">
        <v>-9.4</v>
      </c>
      <c r="AO57" s="54" t="s">
        <v>130</v>
      </c>
      <c r="AP57">
        <v>110</v>
      </c>
      <c r="AQ57">
        <v>-23</v>
      </c>
      <c r="AR57" s="2" t="s">
        <v>113</v>
      </c>
      <c r="AS57" s="53" t="s">
        <v>66</v>
      </c>
      <c r="AT57" t="s">
        <v>328</v>
      </c>
      <c r="AU57" s="59"/>
      <c r="AV57" s="77"/>
      <c r="AW57" s="7">
        <v>80.099999999999994</v>
      </c>
      <c r="BC57" s="7"/>
    </row>
    <row r="58" spans="1:55" s="79" customFormat="1">
      <c r="A58" s="79" t="s">
        <v>329</v>
      </c>
      <c r="B58" s="84">
        <v>26.02</v>
      </c>
      <c r="C58" t="s">
        <v>240</v>
      </c>
      <c r="D58" s="79" t="s">
        <v>330</v>
      </c>
      <c r="E58" s="104">
        <v>5.0259999999999998</v>
      </c>
      <c r="F58" s="86">
        <v>37.799999999999997</v>
      </c>
      <c r="G58" s="79" t="s">
        <v>331</v>
      </c>
      <c r="H58" s="79">
        <v>27.989000000000001</v>
      </c>
      <c r="I58">
        <v>66.599999999999994</v>
      </c>
      <c r="J58">
        <v>81</v>
      </c>
      <c r="K58" s="87"/>
      <c r="P58" s="87">
        <v>2</v>
      </c>
      <c r="T58" s="105"/>
      <c r="U58" s="105" t="s">
        <v>69</v>
      </c>
      <c r="V58" s="79" t="s">
        <v>121</v>
      </c>
      <c r="W58" s="87" t="s">
        <v>82</v>
      </c>
      <c r="X58" s="92">
        <v>255</v>
      </c>
      <c r="Y58" s="92">
        <v>-33</v>
      </c>
      <c r="Z58" s="53"/>
      <c r="AA58" s="3">
        <v>214.6</v>
      </c>
      <c r="AB58" s="3">
        <v>-11.9</v>
      </c>
      <c r="AC58" s="87"/>
      <c r="AG58" s="6"/>
      <c r="AH58" s="6"/>
      <c r="AI58" s="87"/>
      <c r="AO58" s="94" t="s">
        <v>130</v>
      </c>
      <c r="AP58" s="79">
        <v>115</v>
      </c>
      <c r="AQ58" s="79">
        <v>-5</v>
      </c>
      <c r="AR58" s="87" t="s">
        <v>65</v>
      </c>
      <c r="AS58" s="79" t="s">
        <v>66</v>
      </c>
      <c r="AT58" s="79" t="s">
        <v>168</v>
      </c>
      <c r="AU58" s="106"/>
      <c r="AV58" s="107"/>
      <c r="AW58" s="92"/>
      <c r="AX58">
        <v>73.8</v>
      </c>
      <c r="AY58">
        <v>17.3</v>
      </c>
      <c r="AZ58" s="7">
        <v>-56.8</v>
      </c>
      <c r="BA58" s="7"/>
      <c r="BB58" s="7"/>
      <c r="BC58" s="92"/>
    </row>
    <row r="59" spans="1:55">
      <c r="A59" t="s">
        <v>332</v>
      </c>
      <c r="B59" s="51">
        <v>26.67</v>
      </c>
      <c r="C59" t="s">
        <v>240</v>
      </c>
      <c r="D59" t="s">
        <v>333</v>
      </c>
      <c r="E59" s="74">
        <v>6.4000000000000001E-2</v>
      </c>
      <c r="F59" s="49">
        <v>24.4</v>
      </c>
      <c r="G59" t="s">
        <v>334</v>
      </c>
      <c r="I59">
        <v>66.599999999999994</v>
      </c>
      <c r="J59">
        <v>81</v>
      </c>
      <c r="K59" s="71"/>
      <c r="P59" s="2">
        <v>3</v>
      </c>
      <c r="Q59" s="63" t="s">
        <v>335</v>
      </c>
      <c r="R59">
        <v>134</v>
      </c>
      <c r="S59">
        <v>57</v>
      </c>
      <c r="T59" s="5">
        <v>352.2</v>
      </c>
      <c r="U59" s="5">
        <v>38.9</v>
      </c>
      <c r="W59" s="2" t="s">
        <v>85</v>
      </c>
      <c r="X59" s="53">
        <v>194</v>
      </c>
      <c r="Y59" s="53">
        <v>-71</v>
      </c>
      <c r="Z59" s="53"/>
      <c r="AA59" s="3">
        <v>168.1</v>
      </c>
      <c r="AB59" s="3">
        <v>6.2</v>
      </c>
      <c r="AC59" s="2" t="s">
        <v>336</v>
      </c>
      <c r="AD59" s="53">
        <v>132</v>
      </c>
      <c r="AE59" s="53">
        <v>-84</v>
      </c>
      <c r="AF59" t="s">
        <v>63</v>
      </c>
      <c r="AG59" s="6">
        <v>154.1</v>
      </c>
      <c r="AH59" s="6">
        <v>-3.5</v>
      </c>
      <c r="AO59" s="54" t="s">
        <v>313</v>
      </c>
      <c r="AP59">
        <v>246</v>
      </c>
      <c r="AQ59">
        <v>9</v>
      </c>
      <c r="AR59" s="2" t="s">
        <v>113</v>
      </c>
      <c r="AS59" s="53" t="s">
        <v>106</v>
      </c>
      <c r="AT59" t="s">
        <v>123</v>
      </c>
      <c r="AU59" s="64"/>
      <c r="AV59" s="60"/>
      <c r="AW59" s="7">
        <v>-54.6</v>
      </c>
      <c r="AX59" s="51"/>
      <c r="AY59" s="66"/>
      <c r="AZ59" s="66"/>
      <c r="BA59" s="66"/>
      <c r="BB59" s="66"/>
      <c r="BC59" s="7"/>
    </row>
    <row r="60" spans="1:55">
      <c r="A60" t="s">
        <v>337</v>
      </c>
      <c r="B60" s="51">
        <v>27.28</v>
      </c>
      <c r="C60" t="s">
        <v>240</v>
      </c>
      <c r="D60" t="s">
        <v>241</v>
      </c>
      <c r="E60" s="74">
        <v>2.0819999999999999</v>
      </c>
      <c r="F60" s="49">
        <v>33.200000000000003</v>
      </c>
      <c r="G60" t="s">
        <v>338</v>
      </c>
      <c r="H60">
        <v>25.727</v>
      </c>
      <c r="I60">
        <v>66.599999999999994</v>
      </c>
      <c r="J60">
        <v>81</v>
      </c>
      <c r="K60" s="2"/>
      <c r="P60" s="2">
        <v>2</v>
      </c>
      <c r="Q60" t="s">
        <v>339</v>
      </c>
      <c r="R60">
        <v>348</v>
      </c>
      <c r="S60">
        <v>-61</v>
      </c>
      <c r="T60" s="5">
        <v>149.69999999999999</v>
      </c>
      <c r="U60" s="5">
        <v>-37.299999999999997</v>
      </c>
      <c r="V60" t="s">
        <v>121</v>
      </c>
      <c r="AI60" s="2" t="s">
        <v>340</v>
      </c>
      <c r="AJ60" s="53">
        <v>158</v>
      </c>
      <c r="AK60" s="53">
        <v>7</v>
      </c>
      <c r="AL60" t="s">
        <v>40</v>
      </c>
      <c r="AM60" s="6">
        <v>191.4</v>
      </c>
      <c r="AN60" s="6">
        <v>87.6</v>
      </c>
      <c r="AO60" s="54" t="s">
        <v>341</v>
      </c>
      <c r="AP60">
        <v>209</v>
      </c>
      <c r="AQ60">
        <v>-25</v>
      </c>
      <c r="AR60" s="2" t="s">
        <v>167</v>
      </c>
      <c r="AS60" s="53" t="s">
        <v>66</v>
      </c>
      <c r="AT60" t="s">
        <v>168</v>
      </c>
      <c r="AU60" s="59"/>
      <c r="AV60" s="77"/>
      <c r="AW60" s="7">
        <v>78.8</v>
      </c>
      <c r="AX60" s="51"/>
      <c r="AY60" s="66"/>
      <c r="AZ60" s="66"/>
      <c r="BA60" s="66"/>
      <c r="BB60" s="66"/>
      <c r="BC60" s="7"/>
    </row>
    <row r="61" spans="1:55" s="79" customFormat="1">
      <c r="A61" s="79" t="s">
        <v>342</v>
      </c>
      <c r="B61" s="84">
        <v>28.27</v>
      </c>
      <c r="C61" t="s">
        <v>240</v>
      </c>
      <c r="D61" s="79" t="s">
        <v>333</v>
      </c>
      <c r="E61" s="104">
        <v>1.54</v>
      </c>
      <c r="F61" s="86">
        <v>26.7</v>
      </c>
      <c r="G61" s="79" t="s">
        <v>343</v>
      </c>
      <c r="I61">
        <v>66.599999999999994</v>
      </c>
      <c r="J61">
        <v>81</v>
      </c>
      <c r="K61" s="87"/>
      <c r="P61" s="87">
        <v>1.6</v>
      </c>
      <c r="T61" s="105"/>
      <c r="U61" s="105"/>
      <c r="V61" s="79" t="s">
        <v>344</v>
      </c>
      <c r="W61" s="87" t="s">
        <v>85</v>
      </c>
      <c r="X61" s="92">
        <v>289</v>
      </c>
      <c r="Y61" s="92">
        <v>-52</v>
      </c>
      <c r="Z61" s="53"/>
      <c r="AA61" s="6">
        <v>189.1</v>
      </c>
      <c r="AB61" s="6">
        <v>-32.200000000000003</v>
      </c>
      <c r="AC61" s="87" t="s">
        <v>345</v>
      </c>
      <c r="AD61" s="92">
        <v>144</v>
      </c>
      <c r="AE61" s="92">
        <v>-53</v>
      </c>
      <c r="AF61" s="93" t="s">
        <v>96</v>
      </c>
      <c r="AG61" s="6">
        <v>148.1</v>
      </c>
      <c r="AH61" s="6">
        <v>27.1</v>
      </c>
      <c r="AI61" s="87"/>
      <c r="AO61" s="87"/>
      <c r="AR61" s="87" t="s">
        <v>258</v>
      </c>
      <c r="AT61" s="79" t="s">
        <v>200</v>
      </c>
      <c r="AU61" s="108"/>
      <c r="AV61" s="109"/>
      <c r="AW61" s="92"/>
      <c r="AX61" s="92"/>
      <c r="AY61" s="92"/>
      <c r="AZ61" s="92"/>
      <c r="BA61" s="92"/>
      <c r="BB61" s="92"/>
      <c r="BC61" s="92"/>
    </row>
    <row r="62" spans="1:55">
      <c r="A62" t="s">
        <v>346</v>
      </c>
      <c r="B62" s="51">
        <v>29.02</v>
      </c>
      <c r="C62" t="s">
        <v>240</v>
      </c>
      <c r="D62" t="s">
        <v>347</v>
      </c>
      <c r="E62" s="74">
        <v>3.1880000000000002</v>
      </c>
      <c r="F62" s="49">
        <v>23.9</v>
      </c>
      <c r="G62" t="s">
        <v>348</v>
      </c>
      <c r="I62">
        <v>66.599999999999994</v>
      </c>
      <c r="J62">
        <v>81</v>
      </c>
      <c r="K62" s="71"/>
      <c r="P62" s="2">
        <v>4</v>
      </c>
      <c r="V62" t="s">
        <v>349</v>
      </c>
      <c r="W62" s="2" t="s">
        <v>205</v>
      </c>
      <c r="X62" s="53">
        <v>234</v>
      </c>
      <c r="Y62" s="53">
        <v>-15</v>
      </c>
      <c r="Z62" s="53"/>
      <c r="AA62" s="6">
        <v>229.6</v>
      </c>
      <c r="AB62" s="6">
        <v>9.6</v>
      </c>
      <c r="AD62" s="53"/>
      <c r="AE62" s="53"/>
      <c r="AO62" s="54" t="s">
        <v>313</v>
      </c>
      <c r="AP62">
        <v>171</v>
      </c>
      <c r="AQ62">
        <v>-24</v>
      </c>
      <c r="AR62" s="2" t="s">
        <v>159</v>
      </c>
      <c r="AS62" s="53" t="s">
        <v>66</v>
      </c>
      <c r="AT62" t="s">
        <v>67</v>
      </c>
      <c r="AU62" s="59"/>
      <c r="AV62" s="77"/>
      <c r="AW62" s="7"/>
      <c r="AX62">
        <v>75.8</v>
      </c>
      <c r="AY62" s="7">
        <v>1</v>
      </c>
      <c r="AZ62" s="7">
        <v>-65.7</v>
      </c>
      <c r="BA62" s="7"/>
      <c r="BB62" s="7"/>
      <c r="BC62" s="7"/>
    </row>
    <row r="63" spans="1:55" s="79" customFormat="1">
      <c r="A63" s="79" t="s">
        <v>350</v>
      </c>
      <c r="B63" s="51">
        <v>29.02</v>
      </c>
      <c r="C63" s="79" t="s">
        <v>240</v>
      </c>
      <c r="D63" s="110" t="s">
        <v>351</v>
      </c>
      <c r="E63" s="104">
        <v>3.65</v>
      </c>
      <c r="F63" s="86">
        <v>31.7</v>
      </c>
      <c r="G63" s="79" t="s">
        <v>352</v>
      </c>
      <c r="I63">
        <v>66.599999999999994</v>
      </c>
      <c r="J63">
        <v>81</v>
      </c>
      <c r="K63" s="87" t="s">
        <v>85</v>
      </c>
      <c r="L63" s="79">
        <v>225</v>
      </c>
      <c r="M63" s="79">
        <v>39</v>
      </c>
      <c r="N63" s="3">
        <v>285.2</v>
      </c>
      <c r="O63" s="3">
        <v>22.4</v>
      </c>
      <c r="P63" s="87">
        <v>1.4</v>
      </c>
      <c r="T63" s="105"/>
      <c r="U63" s="105"/>
      <c r="V63" s="79" t="s">
        <v>193</v>
      </c>
      <c r="W63" s="87" t="s">
        <v>353</v>
      </c>
      <c r="X63" s="79">
        <v>251</v>
      </c>
      <c r="Y63" s="79">
        <v>-7</v>
      </c>
      <c r="Z63" s="73"/>
      <c r="AA63" s="6">
        <v>240.3</v>
      </c>
      <c r="AB63" s="6">
        <v>-5.4</v>
      </c>
      <c r="AC63" s="87" t="s">
        <v>336</v>
      </c>
      <c r="AD63" s="92">
        <v>241</v>
      </c>
      <c r="AE63" s="92">
        <v>12</v>
      </c>
      <c r="AF63" s="79" t="s">
        <v>39</v>
      </c>
      <c r="AG63" s="6">
        <v>257.7</v>
      </c>
      <c r="AH63" s="6">
        <v>7.3</v>
      </c>
      <c r="AI63" s="87"/>
      <c r="AO63" s="87" t="s">
        <v>354</v>
      </c>
      <c r="AP63" s="79">
        <v>335</v>
      </c>
      <c r="AQ63" s="79">
        <v>25</v>
      </c>
      <c r="AR63" s="87" t="s">
        <v>105</v>
      </c>
      <c r="AS63" s="79" t="s">
        <v>87</v>
      </c>
      <c r="AT63" s="79" t="s">
        <v>107</v>
      </c>
      <c r="AU63" s="106"/>
      <c r="AV63" s="107"/>
      <c r="AW63" s="92"/>
      <c r="AX63">
        <v>79.400000000000006</v>
      </c>
      <c r="AY63" s="7">
        <v>4.5999999999999996</v>
      </c>
      <c r="AZ63" s="7">
        <v>-61.8</v>
      </c>
      <c r="BA63" s="7"/>
      <c r="BB63" s="7"/>
      <c r="BC63" s="92"/>
    </row>
    <row r="64" spans="1:55">
      <c r="A64" t="s">
        <v>355</v>
      </c>
      <c r="B64" s="51">
        <v>29.77</v>
      </c>
      <c r="C64" s="53" t="s">
        <v>356</v>
      </c>
      <c r="D64" t="s">
        <v>347</v>
      </c>
      <c r="E64" s="74">
        <v>0.92700000000000005</v>
      </c>
      <c r="F64" s="49">
        <v>43.4</v>
      </c>
      <c r="G64" t="s">
        <v>357</v>
      </c>
      <c r="H64">
        <v>22.289000000000001</v>
      </c>
      <c r="I64">
        <v>66.599999999999994</v>
      </c>
      <c r="J64">
        <v>81</v>
      </c>
      <c r="K64" s="71" t="s">
        <v>243</v>
      </c>
      <c r="L64">
        <v>110</v>
      </c>
      <c r="M64">
        <v>33</v>
      </c>
      <c r="N64" s="3">
        <v>30.3</v>
      </c>
      <c r="O64" s="3">
        <v>40.9</v>
      </c>
      <c r="P64" s="2">
        <v>1.4</v>
      </c>
      <c r="V64" t="s">
        <v>358</v>
      </c>
      <c r="W64" s="2"/>
      <c r="AA64" s="6"/>
      <c r="AB64" s="6"/>
      <c r="AC64" s="2" t="s">
        <v>359</v>
      </c>
      <c r="AD64" s="53">
        <v>344</v>
      </c>
      <c r="AE64" s="53">
        <v>-2</v>
      </c>
      <c r="AF64" t="s">
        <v>96</v>
      </c>
      <c r="AG64" s="6">
        <v>23.5</v>
      </c>
      <c r="AH64" s="6">
        <v>-79.8</v>
      </c>
      <c r="AO64" s="54" t="s">
        <v>104</v>
      </c>
      <c r="AP64">
        <v>254</v>
      </c>
      <c r="AQ64">
        <v>-26</v>
      </c>
      <c r="AR64" s="2" t="s">
        <v>159</v>
      </c>
      <c r="AS64" s="53" t="s">
        <v>66</v>
      </c>
      <c r="AT64" t="s">
        <v>88</v>
      </c>
      <c r="AU64" s="59"/>
      <c r="AV64" s="60"/>
      <c r="AW64" s="7"/>
      <c r="AX64">
        <v>74.2</v>
      </c>
      <c r="AY64" s="7">
        <v>14.6</v>
      </c>
      <c r="AZ64" s="7">
        <v>-46.2</v>
      </c>
      <c r="BA64" s="7"/>
      <c r="BB64" s="7"/>
      <c r="BC64" s="7"/>
    </row>
    <row r="65" spans="1:55" s="79" customFormat="1">
      <c r="A65" s="79" t="s">
        <v>360</v>
      </c>
      <c r="B65" s="84">
        <v>31.57</v>
      </c>
      <c r="C65" s="79" t="s">
        <v>240</v>
      </c>
      <c r="D65" s="79" t="s">
        <v>347</v>
      </c>
      <c r="E65" s="104">
        <v>3.8210000000000002</v>
      </c>
      <c r="F65" s="86">
        <v>33.5</v>
      </c>
      <c r="G65" s="79" t="s">
        <v>361</v>
      </c>
      <c r="H65" s="79">
        <v>24.346</v>
      </c>
      <c r="I65">
        <v>66.599999999999994</v>
      </c>
      <c r="J65">
        <v>81</v>
      </c>
      <c r="K65" s="87" t="s">
        <v>243</v>
      </c>
      <c r="L65" s="79">
        <v>161</v>
      </c>
      <c r="M65" s="79">
        <v>24</v>
      </c>
      <c r="N65" s="89">
        <v>321.5</v>
      </c>
      <c r="O65" s="89">
        <v>74.400000000000006</v>
      </c>
      <c r="P65" s="87">
        <v>1.2</v>
      </c>
      <c r="T65" s="105"/>
      <c r="U65" s="105"/>
      <c r="V65" s="79" t="s">
        <v>121</v>
      </c>
      <c r="W65" s="94" t="s">
        <v>244</v>
      </c>
      <c r="X65" s="79">
        <v>239</v>
      </c>
      <c r="Y65" s="79">
        <v>-18</v>
      </c>
      <c r="Z65" s="73"/>
      <c r="AA65" s="6">
        <v>227.6</v>
      </c>
      <c r="AB65" s="6">
        <v>4.4000000000000004</v>
      </c>
      <c r="AC65" s="87" t="s">
        <v>321</v>
      </c>
      <c r="AD65" s="92">
        <v>198</v>
      </c>
      <c r="AE65" s="92">
        <v>-17</v>
      </c>
      <c r="AF65" s="79" t="s">
        <v>39</v>
      </c>
      <c r="AG65" s="6">
        <v>214.2</v>
      </c>
      <c r="AH65" s="6">
        <v>41.5</v>
      </c>
      <c r="AI65" s="87"/>
      <c r="AO65" s="87"/>
      <c r="AR65" s="87" t="s">
        <v>63</v>
      </c>
      <c r="AT65" s="79" t="s">
        <v>181</v>
      </c>
      <c r="AU65" s="108"/>
      <c r="AV65" s="109"/>
      <c r="AW65" s="92"/>
      <c r="AX65" s="92"/>
      <c r="AY65" s="92"/>
      <c r="AZ65" s="92"/>
      <c r="BA65" s="92"/>
      <c r="BB65" s="92"/>
      <c r="BC65" s="92"/>
    </row>
    <row r="66" spans="1:55">
      <c r="A66" t="s">
        <v>362</v>
      </c>
      <c r="B66" s="51">
        <v>34.58</v>
      </c>
      <c r="C66" t="s">
        <v>240</v>
      </c>
      <c r="D66" t="s">
        <v>241</v>
      </c>
      <c r="E66" s="74">
        <v>6.5519999999999996</v>
      </c>
      <c r="F66" s="49">
        <v>25.8</v>
      </c>
      <c r="G66" t="s">
        <v>363</v>
      </c>
      <c r="I66">
        <v>61.7</v>
      </c>
      <c r="J66">
        <v>85</v>
      </c>
      <c r="K66" s="2"/>
      <c r="P66" s="2">
        <v>1</v>
      </c>
      <c r="W66" s="2"/>
      <c r="AA66" s="6"/>
      <c r="AB66" s="6"/>
      <c r="AC66" s="2" t="s">
        <v>364</v>
      </c>
      <c r="AD66" s="53">
        <v>229</v>
      </c>
      <c r="AE66" s="53">
        <v>7</v>
      </c>
      <c r="AF66" t="s">
        <v>39</v>
      </c>
      <c r="AG66" s="6">
        <v>247.7</v>
      </c>
      <c r="AH66" s="6">
        <v>13.2</v>
      </c>
      <c r="AO66" s="2"/>
      <c r="AR66" s="2" t="s">
        <v>258</v>
      </c>
      <c r="AT66" t="s">
        <v>181</v>
      </c>
      <c r="AU66" s="70"/>
      <c r="AV66" s="60"/>
      <c r="AW66" s="7"/>
      <c r="AX66" s="7"/>
      <c r="AY66" s="7"/>
      <c r="AZ66" s="7"/>
      <c r="BA66" s="7"/>
      <c r="BB66" s="7"/>
      <c r="BC66" s="7"/>
    </row>
    <row r="67" spans="1:55" s="79" customFormat="1">
      <c r="A67" s="79" t="s">
        <v>365</v>
      </c>
      <c r="B67" s="51">
        <v>34.58</v>
      </c>
      <c r="C67" s="79" t="s">
        <v>240</v>
      </c>
      <c r="D67" s="79" t="s">
        <v>366</v>
      </c>
      <c r="E67" s="104">
        <v>5.66</v>
      </c>
      <c r="F67" s="86">
        <v>30.9</v>
      </c>
      <c r="G67" s="79" t="s">
        <v>367</v>
      </c>
      <c r="H67" s="79">
        <v>21.882999999999999</v>
      </c>
      <c r="I67">
        <v>61.7</v>
      </c>
      <c r="J67">
        <v>85</v>
      </c>
      <c r="K67" s="111"/>
      <c r="P67" s="87">
        <v>2</v>
      </c>
      <c r="T67" s="105"/>
      <c r="U67" s="105"/>
      <c r="V67" s="79" t="s">
        <v>368</v>
      </c>
      <c r="AC67" s="87" t="s">
        <v>369</v>
      </c>
      <c r="AD67" s="92">
        <v>264</v>
      </c>
      <c r="AE67" s="92">
        <v>77</v>
      </c>
      <c r="AF67" s="93" t="s">
        <v>96</v>
      </c>
      <c r="AG67" s="6">
        <v>319.7</v>
      </c>
      <c r="AH67" s="6">
        <v>0</v>
      </c>
      <c r="AI67" s="87" t="s">
        <v>370</v>
      </c>
      <c r="AJ67" s="79">
        <v>314</v>
      </c>
      <c r="AK67" s="79">
        <v>58</v>
      </c>
      <c r="AL67" s="93" t="s">
        <v>96</v>
      </c>
      <c r="AM67" s="6">
        <v>321.39999999999998</v>
      </c>
      <c r="AN67" s="6">
        <v>-25.4</v>
      </c>
      <c r="AO67" s="94" t="s">
        <v>371</v>
      </c>
      <c r="AP67" s="79">
        <v>57</v>
      </c>
      <c r="AQ67" s="79">
        <v>8</v>
      </c>
      <c r="AR67" s="87" t="s">
        <v>105</v>
      </c>
      <c r="AS67" s="79" t="s">
        <v>66</v>
      </c>
      <c r="AT67" s="79" t="s">
        <v>149</v>
      </c>
      <c r="AU67" s="112"/>
      <c r="AV67" s="109"/>
      <c r="AW67" s="92"/>
      <c r="AX67">
        <v>-74.900000000000006</v>
      </c>
      <c r="AY67" s="7">
        <f>339.8-180</f>
        <v>159.80000000000001</v>
      </c>
      <c r="AZ67" s="7">
        <v>57.5</v>
      </c>
      <c r="BA67" s="7"/>
      <c r="BB67" s="7"/>
      <c r="BC67" s="92"/>
    </row>
    <row r="68" spans="1:55" s="73" customFormat="1">
      <c r="A68" s="53" t="s">
        <v>372</v>
      </c>
      <c r="B68" s="51">
        <v>35.47</v>
      </c>
      <c r="C68" s="73" t="str">
        <f>'[1]BQ ms'!G124</f>
        <v>green-grey</v>
      </c>
      <c r="D68" s="53" t="s">
        <v>174</v>
      </c>
      <c r="E68" s="78">
        <v>0.29799999999999999</v>
      </c>
      <c r="F68" s="98">
        <v>32</v>
      </c>
      <c r="G68" s="53" t="s">
        <v>373</v>
      </c>
      <c r="I68">
        <v>61.7</v>
      </c>
      <c r="J68">
        <v>85</v>
      </c>
      <c r="K68" s="71" t="s">
        <v>133</v>
      </c>
      <c r="L68" s="53">
        <v>143</v>
      </c>
      <c r="M68" s="53">
        <v>15</v>
      </c>
      <c r="N68" s="3">
        <v>11.6</v>
      </c>
      <c r="O68" s="3">
        <v>76.8</v>
      </c>
      <c r="P68" s="2">
        <v>1.2</v>
      </c>
      <c r="T68" s="101"/>
      <c r="U68" s="101"/>
      <c r="V68" s="53" t="s">
        <v>374</v>
      </c>
      <c r="W68" s="73" t="s">
        <v>128</v>
      </c>
      <c r="X68" s="73">
        <v>230</v>
      </c>
      <c r="Y68" s="73">
        <v>-64</v>
      </c>
      <c r="AA68" s="73">
        <v>177.1</v>
      </c>
      <c r="AB68" s="73">
        <v>0.6</v>
      </c>
      <c r="AC68" s="2"/>
      <c r="AD68" s="53"/>
      <c r="AE68" s="53"/>
      <c r="AF68" s="53"/>
      <c r="AG68" s="68"/>
      <c r="AH68" s="68"/>
      <c r="AI68" s="71"/>
      <c r="AJ68" s="53"/>
      <c r="AK68" s="53"/>
      <c r="AL68" s="53"/>
      <c r="AM68" s="6"/>
      <c r="AN68" s="6"/>
      <c r="AO68" s="54" t="s">
        <v>130</v>
      </c>
      <c r="AP68" s="53">
        <v>50</v>
      </c>
      <c r="AQ68" s="53">
        <v>-6</v>
      </c>
      <c r="AR68" s="2" t="s">
        <v>159</v>
      </c>
      <c r="AS68" s="53" t="s">
        <v>106</v>
      </c>
      <c r="AT68" s="53" t="s">
        <v>309</v>
      </c>
      <c r="AU68" s="64"/>
      <c r="AV68" s="100"/>
      <c r="AW68" s="53"/>
      <c r="AX68">
        <v>-52</v>
      </c>
      <c r="AY68">
        <f>310.5-180</f>
        <v>130.5</v>
      </c>
      <c r="AZ68" s="7">
        <v>57.6</v>
      </c>
      <c r="BA68" s="7"/>
      <c r="BB68" s="7"/>
      <c r="BC68" s="53"/>
    </row>
    <row r="69" spans="1:55">
      <c r="A69" t="s">
        <v>375</v>
      </c>
      <c r="B69" s="51">
        <v>36.619999999999997</v>
      </c>
      <c r="C69" t="str">
        <f>'[1]BQ ms'!G128</f>
        <v>grey</v>
      </c>
      <c r="D69" s="58" t="s">
        <v>376</v>
      </c>
      <c r="E69" s="57">
        <v>0.61150000000000004</v>
      </c>
      <c r="F69" s="49">
        <v>36.9</v>
      </c>
      <c r="G69" t="s">
        <v>377</v>
      </c>
      <c r="H69">
        <v>23.288900000000002</v>
      </c>
      <c r="I69">
        <v>61.7</v>
      </c>
      <c r="J69">
        <v>85</v>
      </c>
      <c r="K69" s="2" t="s">
        <v>119</v>
      </c>
      <c r="L69">
        <v>131</v>
      </c>
      <c r="M69">
        <v>19</v>
      </c>
      <c r="N69" s="3">
        <v>25.2</v>
      </c>
      <c r="O69" s="3">
        <v>65.400000000000006</v>
      </c>
      <c r="P69" s="2">
        <v>1.4</v>
      </c>
      <c r="V69" t="s">
        <v>121</v>
      </c>
      <c r="W69" s="2"/>
      <c r="AA69" s="6"/>
      <c r="AB69" s="6"/>
      <c r="AC69" s="54" t="s">
        <v>313</v>
      </c>
      <c r="AD69" s="53">
        <v>150</v>
      </c>
      <c r="AE69" s="53">
        <v>-29</v>
      </c>
      <c r="AF69" s="61" t="s">
        <v>96</v>
      </c>
      <c r="AG69" s="6">
        <v>149</v>
      </c>
      <c r="AH69" s="6">
        <v>56</v>
      </c>
      <c r="AO69" s="2"/>
      <c r="AR69" s="2" t="s">
        <v>39</v>
      </c>
      <c r="AT69" t="s">
        <v>181</v>
      </c>
      <c r="AU69" s="72"/>
      <c r="AV69" s="60"/>
      <c r="AW69" s="7"/>
      <c r="AX69" s="7"/>
      <c r="AY69" s="7"/>
      <c r="AZ69" s="7"/>
      <c r="BA69" s="7"/>
      <c r="BB69" s="7"/>
      <c r="BC69" s="7"/>
    </row>
    <row r="70" spans="1:55" s="79" customFormat="1">
      <c r="A70" s="79" t="s">
        <v>378</v>
      </c>
      <c r="B70" s="51">
        <v>36.619999999999997</v>
      </c>
      <c r="C70" s="79" t="str">
        <f>C69</f>
        <v>grey</v>
      </c>
      <c r="D70" s="110" t="s">
        <v>376</v>
      </c>
      <c r="E70" s="85">
        <v>0.52149999999999996</v>
      </c>
      <c r="F70" s="86">
        <v>33.200000000000003</v>
      </c>
      <c r="G70" s="79" t="s">
        <v>379</v>
      </c>
      <c r="H70" s="79">
        <v>22.200900000000001</v>
      </c>
      <c r="I70">
        <v>61.7</v>
      </c>
      <c r="J70">
        <v>85</v>
      </c>
      <c r="K70" s="87" t="s">
        <v>243</v>
      </c>
      <c r="L70" s="79">
        <v>115</v>
      </c>
      <c r="M70" s="79">
        <v>56</v>
      </c>
      <c r="N70" s="89">
        <v>354.7</v>
      </c>
      <c r="O70" s="89">
        <v>31.3</v>
      </c>
      <c r="P70" s="87">
        <v>2</v>
      </c>
      <c r="T70" s="105"/>
      <c r="U70" s="105"/>
      <c r="AC70" s="94" t="s">
        <v>371</v>
      </c>
      <c r="AD70" s="92">
        <v>146</v>
      </c>
      <c r="AE70" s="92">
        <v>-43</v>
      </c>
      <c r="AF70" s="93" t="s">
        <v>96</v>
      </c>
      <c r="AG70" s="6">
        <v>146.1</v>
      </c>
      <c r="AH70" s="6">
        <v>41.7</v>
      </c>
      <c r="AI70" s="87" t="s">
        <v>82</v>
      </c>
      <c r="AJ70" s="79">
        <v>340</v>
      </c>
      <c r="AK70" s="79">
        <v>36</v>
      </c>
      <c r="AL70" s="93" t="s">
        <v>96</v>
      </c>
      <c r="AM70" s="6">
        <v>341.8</v>
      </c>
      <c r="AN70" s="6">
        <v>-48.3</v>
      </c>
      <c r="AO70" s="87"/>
      <c r="AR70" s="87" t="s">
        <v>39</v>
      </c>
      <c r="AT70" s="79" t="s">
        <v>181</v>
      </c>
      <c r="AU70" s="95"/>
      <c r="AV70" s="109"/>
      <c r="AW70" s="92"/>
      <c r="AX70" s="92"/>
      <c r="AY70" s="92"/>
      <c r="AZ70" s="92"/>
      <c r="BA70" s="92"/>
      <c r="BB70" s="92"/>
      <c r="BC70" s="92"/>
    </row>
    <row r="71" spans="1:55" s="73" customFormat="1">
      <c r="A71" s="53" t="s">
        <v>380</v>
      </c>
      <c r="B71" s="51">
        <v>36.619999999999997</v>
      </c>
      <c r="C71" s="73" t="str">
        <f>C69</f>
        <v>grey</v>
      </c>
      <c r="D71" s="53">
        <v>350</v>
      </c>
      <c r="E71" s="52">
        <v>0.37790000000000001</v>
      </c>
      <c r="F71" s="98">
        <v>35.5</v>
      </c>
      <c r="G71" s="53" t="s">
        <v>381</v>
      </c>
      <c r="I71">
        <v>61.7</v>
      </c>
      <c r="J71">
        <v>85</v>
      </c>
      <c r="K71" s="2" t="s">
        <v>59</v>
      </c>
      <c r="L71" s="53">
        <v>107</v>
      </c>
      <c r="M71" s="53">
        <v>20</v>
      </c>
      <c r="N71" s="3">
        <v>38.6</v>
      </c>
      <c r="O71" s="3">
        <v>44</v>
      </c>
      <c r="P71" s="2">
        <v>1.2</v>
      </c>
      <c r="Q71" s="82" t="s">
        <v>141</v>
      </c>
      <c r="R71" s="73">
        <v>209</v>
      </c>
      <c r="S71" s="73">
        <v>50</v>
      </c>
      <c r="T71" s="67">
        <v>295.3</v>
      </c>
      <c r="U71" s="67">
        <v>24.4</v>
      </c>
      <c r="W71" s="73" t="s">
        <v>178</v>
      </c>
      <c r="X71" s="73">
        <v>232</v>
      </c>
      <c r="Y71" s="73">
        <v>-50</v>
      </c>
      <c r="AA71" s="73">
        <v>191.1</v>
      </c>
      <c r="AB71" s="73">
        <v>2.4</v>
      </c>
      <c r="AC71" s="54" t="s">
        <v>325</v>
      </c>
      <c r="AD71" s="53">
        <v>64</v>
      </c>
      <c r="AE71" s="53">
        <v>19</v>
      </c>
      <c r="AF71" s="53"/>
      <c r="AG71" s="6">
        <v>42.9</v>
      </c>
      <c r="AH71" s="6">
        <v>3.8</v>
      </c>
      <c r="AI71" s="71"/>
      <c r="AJ71" s="53"/>
      <c r="AK71" s="53"/>
      <c r="AL71" s="53"/>
      <c r="AM71" s="6"/>
      <c r="AN71" s="6"/>
      <c r="AO71" s="2"/>
      <c r="AR71" s="2" t="s">
        <v>167</v>
      </c>
      <c r="AT71" s="53" t="s">
        <v>309</v>
      </c>
      <c r="AU71" s="72"/>
      <c r="AV71" s="100"/>
      <c r="AW71" s="7">
        <v>-63.5</v>
      </c>
      <c r="AX71" s="53"/>
      <c r="AY71" s="53"/>
      <c r="AZ71" s="53"/>
      <c r="BA71" s="53"/>
      <c r="BB71" s="53"/>
      <c r="BC71" s="53"/>
    </row>
    <row r="72" spans="1:55" s="73" customFormat="1">
      <c r="A72" s="53" t="s">
        <v>382</v>
      </c>
      <c r="B72" s="51">
        <v>31.819999999999997</v>
      </c>
      <c r="C72" s="73" t="str">
        <f>'[1]BQ ms'!G126</f>
        <v>brown</v>
      </c>
      <c r="D72" s="53" t="s">
        <v>174</v>
      </c>
      <c r="E72" s="52">
        <v>0.57599999999999996</v>
      </c>
      <c r="F72" s="98">
        <v>27</v>
      </c>
      <c r="G72" s="53" t="s">
        <v>383</v>
      </c>
      <c r="I72">
        <v>61.7</v>
      </c>
      <c r="J72">
        <v>85</v>
      </c>
      <c r="K72" s="2" t="s">
        <v>318</v>
      </c>
      <c r="L72" s="53">
        <v>139</v>
      </c>
      <c r="M72" s="53">
        <v>34</v>
      </c>
      <c r="N72" s="3">
        <v>352.2</v>
      </c>
      <c r="O72" s="3">
        <v>58.7</v>
      </c>
      <c r="P72" s="2">
        <v>1.6</v>
      </c>
      <c r="Q72" s="82" t="s">
        <v>384</v>
      </c>
      <c r="R72" s="73">
        <v>143</v>
      </c>
      <c r="S72" s="73">
        <v>34</v>
      </c>
      <c r="T72" s="5">
        <v>346.2</v>
      </c>
      <c r="U72" s="5">
        <v>59.9</v>
      </c>
      <c r="AC72" s="54"/>
      <c r="AD72" s="53"/>
      <c r="AE72" s="53"/>
      <c r="AF72" s="53"/>
      <c r="AG72" s="68"/>
      <c r="AH72" s="68"/>
      <c r="AI72" s="71"/>
      <c r="AJ72" s="53"/>
      <c r="AK72" s="53"/>
      <c r="AL72" s="53"/>
      <c r="AM72" s="6"/>
      <c r="AN72" s="6"/>
      <c r="AO72" s="2" t="s">
        <v>385</v>
      </c>
      <c r="AP72" s="73">
        <v>136</v>
      </c>
      <c r="AQ72" s="73">
        <v>-55</v>
      </c>
      <c r="AR72" s="2" t="s">
        <v>113</v>
      </c>
      <c r="AT72" s="53" t="s">
        <v>309</v>
      </c>
      <c r="AU72" s="72"/>
      <c r="AV72" s="100"/>
      <c r="AW72" s="7">
        <v>-55.5</v>
      </c>
      <c r="AX72" s="53"/>
      <c r="AY72" s="53"/>
      <c r="AZ72" s="53"/>
      <c r="BA72" s="53"/>
      <c r="BB72" s="53"/>
      <c r="BC72" s="53"/>
    </row>
    <row r="73" spans="1:55">
      <c r="A73" t="s">
        <v>386</v>
      </c>
      <c r="B73" s="51">
        <v>32.54</v>
      </c>
      <c r="C73" t="str">
        <f>'[1]BQ ms'!G120</f>
        <v>pale grey</v>
      </c>
      <c r="D73" t="s">
        <v>330</v>
      </c>
      <c r="E73" s="78">
        <v>0.36799999999999999</v>
      </c>
      <c r="F73" s="49">
        <v>23.2</v>
      </c>
      <c r="G73" t="s">
        <v>387</v>
      </c>
      <c r="H73">
        <v>22.783999999999999</v>
      </c>
      <c r="I73">
        <v>61.7</v>
      </c>
      <c r="J73">
        <v>85</v>
      </c>
      <c r="K73" s="2" t="s">
        <v>385</v>
      </c>
      <c r="L73">
        <v>138</v>
      </c>
      <c r="M73">
        <v>-25</v>
      </c>
      <c r="N73" s="3">
        <v>128.4</v>
      </c>
      <c r="O73" s="3">
        <v>57.2</v>
      </c>
      <c r="P73" s="2">
        <v>1.2</v>
      </c>
      <c r="V73" t="s">
        <v>121</v>
      </c>
      <c r="W73" s="2"/>
      <c r="AA73" s="6"/>
      <c r="AB73" s="6"/>
      <c r="AC73" s="54" t="s">
        <v>180</v>
      </c>
      <c r="AD73" s="53">
        <v>154</v>
      </c>
      <c r="AE73" s="53">
        <v>-26</v>
      </c>
      <c r="AF73" s="61" t="s">
        <v>96</v>
      </c>
      <c r="AG73" s="6">
        <v>155.69999999999999</v>
      </c>
      <c r="AH73" s="6">
        <v>58.9</v>
      </c>
      <c r="AO73" s="2"/>
      <c r="AR73" s="2" t="s">
        <v>39</v>
      </c>
      <c r="AT73" t="s">
        <v>181</v>
      </c>
      <c r="AU73" s="59"/>
      <c r="AV73" s="60"/>
      <c r="AW73" s="7"/>
      <c r="AX73" s="7"/>
      <c r="AY73" s="7"/>
      <c r="AZ73" s="7"/>
      <c r="BA73" s="7"/>
      <c r="BB73" s="7"/>
      <c r="BC73" s="7"/>
    </row>
    <row r="74" spans="1:55">
      <c r="A74" t="s">
        <v>388</v>
      </c>
      <c r="B74" s="51">
        <v>32.54</v>
      </c>
      <c r="C74" t="str">
        <f>C73</f>
        <v>pale grey</v>
      </c>
      <c r="D74" t="s">
        <v>174</v>
      </c>
      <c r="E74" s="78">
        <v>0.1154</v>
      </c>
      <c r="F74" s="49">
        <v>23.5</v>
      </c>
      <c r="G74" t="s">
        <v>389</v>
      </c>
      <c r="I74">
        <v>61.7</v>
      </c>
      <c r="J74">
        <v>85</v>
      </c>
      <c r="K74" s="2" t="s">
        <v>133</v>
      </c>
      <c r="L74">
        <v>134</v>
      </c>
      <c r="M74">
        <v>4</v>
      </c>
      <c r="N74" s="3">
        <v>64.2</v>
      </c>
      <c r="O74" s="3">
        <v>72.3</v>
      </c>
      <c r="P74" s="2">
        <v>1.5</v>
      </c>
      <c r="Q74" s="63" t="s">
        <v>390</v>
      </c>
      <c r="R74">
        <v>350</v>
      </c>
      <c r="S74">
        <v>-71</v>
      </c>
      <c r="T74" s="5">
        <v>145.30000000000001</v>
      </c>
      <c r="U74" s="5">
        <v>-23</v>
      </c>
      <c r="V74" t="s">
        <v>391</v>
      </c>
      <c r="AC74" s="73" t="s">
        <v>392</v>
      </c>
      <c r="AD74">
        <v>246</v>
      </c>
      <c r="AE74">
        <v>10</v>
      </c>
      <c r="AG74" s="73">
        <v>252.1</v>
      </c>
      <c r="AH74" s="73">
        <v>-3.3</v>
      </c>
      <c r="AO74" s="54" t="s">
        <v>307</v>
      </c>
      <c r="AP74">
        <v>252</v>
      </c>
      <c r="AQ74">
        <v>-30</v>
      </c>
      <c r="AR74" s="2" t="s">
        <v>159</v>
      </c>
      <c r="AS74" t="s">
        <v>66</v>
      </c>
      <c r="AT74" t="s">
        <v>67</v>
      </c>
      <c r="AU74" s="59"/>
      <c r="AV74" s="60"/>
      <c r="AW74" s="7"/>
      <c r="AX74">
        <v>72.3</v>
      </c>
      <c r="AY74">
        <v>16</v>
      </c>
      <c r="AZ74" s="7">
        <v>-44.1</v>
      </c>
      <c r="BA74" s="7"/>
      <c r="BB74" s="7"/>
      <c r="BC74" s="7"/>
    </row>
    <row r="75" spans="1:55">
      <c r="A75" t="s">
        <v>393</v>
      </c>
      <c r="B75" s="51">
        <v>33.72</v>
      </c>
      <c r="C75" t="s">
        <v>240</v>
      </c>
      <c r="D75" t="s">
        <v>241</v>
      </c>
      <c r="E75" s="74">
        <v>5.74</v>
      </c>
      <c r="F75" s="49">
        <v>25.8</v>
      </c>
      <c r="G75" t="s">
        <v>394</v>
      </c>
      <c r="I75">
        <v>61.7</v>
      </c>
      <c r="J75">
        <v>85</v>
      </c>
      <c r="K75" s="71"/>
      <c r="P75" s="2">
        <v>1</v>
      </c>
      <c r="Q75" s="4" t="s">
        <v>135</v>
      </c>
      <c r="R75">
        <v>2</v>
      </c>
      <c r="S75">
        <v>-41</v>
      </c>
      <c r="T75" s="5">
        <v>119.2</v>
      </c>
      <c r="U75" s="5">
        <v>-44.9</v>
      </c>
      <c r="V75" t="s">
        <v>395</v>
      </c>
      <c r="AC75" s="2" t="s">
        <v>396</v>
      </c>
      <c r="AD75" s="53">
        <v>312</v>
      </c>
      <c r="AE75" s="53">
        <v>11</v>
      </c>
      <c r="AF75" s="61" t="s">
        <v>96</v>
      </c>
      <c r="AG75" s="6">
        <v>281</v>
      </c>
      <c r="AH75" s="6">
        <v>-64.7</v>
      </c>
      <c r="AI75" s="2" t="s">
        <v>76</v>
      </c>
      <c r="AJ75" s="53">
        <v>279</v>
      </c>
      <c r="AK75" s="53">
        <v>22</v>
      </c>
      <c r="AL75" t="s">
        <v>397</v>
      </c>
      <c r="AM75" s="6">
        <v>271.5</v>
      </c>
      <c r="AN75" s="6">
        <v>-31.8</v>
      </c>
      <c r="AO75" s="2" t="s">
        <v>398</v>
      </c>
      <c r="AP75">
        <v>226</v>
      </c>
      <c r="AQ75">
        <v>54</v>
      </c>
      <c r="AR75" s="2" t="s">
        <v>113</v>
      </c>
      <c r="AS75" t="s">
        <v>399</v>
      </c>
      <c r="AT75" t="s">
        <v>67</v>
      </c>
      <c r="AU75" s="114"/>
      <c r="AV75" s="60"/>
      <c r="AW75" s="7">
        <v>79</v>
      </c>
      <c r="AX75" s="51"/>
      <c r="AY75" s="66"/>
      <c r="AZ75" s="66"/>
      <c r="BA75" s="66"/>
      <c r="BB75" s="66"/>
      <c r="BC75" s="7"/>
    </row>
    <row r="76" spans="1:55">
      <c r="A76" t="s">
        <v>400</v>
      </c>
      <c r="B76" s="51">
        <v>37.479999999999997</v>
      </c>
      <c r="C76" t="str">
        <f>'[1]BQ ms'!G130</f>
        <v>pale brown sst</v>
      </c>
      <c r="D76" t="s">
        <v>174</v>
      </c>
      <c r="E76" s="78">
        <v>0.2636</v>
      </c>
      <c r="F76" s="49">
        <v>31.2</v>
      </c>
      <c r="G76" t="s">
        <v>401</v>
      </c>
      <c r="I76">
        <v>61.7</v>
      </c>
      <c r="J76">
        <v>85</v>
      </c>
      <c r="K76" s="71" t="s">
        <v>119</v>
      </c>
      <c r="L76">
        <v>150</v>
      </c>
      <c r="M76">
        <v>20</v>
      </c>
      <c r="N76" s="79">
        <v>337.8</v>
      </c>
      <c r="O76" s="79">
        <v>74.900000000000006</v>
      </c>
      <c r="P76" s="2">
        <v>2</v>
      </c>
      <c r="Q76" s="63" t="s">
        <v>141</v>
      </c>
      <c r="R76">
        <v>16</v>
      </c>
      <c r="S76">
        <v>-59</v>
      </c>
      <c r="T76" s="5">
        <v>128.1</v>
      </c>
      <c r="U76" s="5">
        <v>-26.2</v>
      </c>
      <c r="V76" t="s">
        <v>402</v>
      </c>
      <c r="W76" t="s">
        <v>147</v>
      </c>
      <c r="X76">
        <v>223</v>
      </c>
      <c r="Y76">
        <v>-47</v>
      </c>
      <c r="AA76" s="3">
        <v>192.5</v>
      </c>
      <c r="AB76" s="3">
        <v>8.9</v>
      </c>
      <c r="AD76" s="53"/>
      <c r="AE76" s="53"/>
      <c r="AF76" s="7"/>
      <c r="AJ76" s="53"/>
      <c r="AK76" s="53"/>
      <c r="AM76" s="6"/>
      <c r="AN76" s="6"/>
      <c r="AO76" s="54" t="s">
        <v>104</v>
      </c>
      <c r="AP76">
        <v>118</v>
      </c>
      <c r="AQ76">
        <v>-8</v>
      </c>
      <c r="AR76" s="2" t="s">
        <v>113</v>
      </c>
      <c r="AT76" t="s">
        <v>67</v>
      </c>
      <c r="AU76" s="114"/>
      <c r="AV76" s="60"/>
      <c r="AW76" s="7">
        <v>74.3</v>
      </c>
      <c r="AX76" s="51"/>
      <c r="AY76" s="66"/>
      <c r="AZ76" s="66"/>
      <c r="BA76" s="66"/>
      <c r="BB76" s="66"/>
      <c r="BC76" s="7"/>
    </row>
    <row r="77" spans="1:55">
      <c r="A77" t="s">
        <v>403</v>
      </c>
      <c r="B77" s="51">
        <v>38.47</v>
      </c>
      <c r="D77" t="s">
        <v>330</v>
      </c>
      <c r="E77" s="74">
        <v>0.38319999999999999</v>
      </c>
      <c r="F77" s="49">
        <v>29.3</v>
      </c>
      <c r="G77" t="s">
        <v>404</v>
      </c>
      <c r="H77">
        <v>20.917000000000002</v>
      </c>
      <c r="I77">
        <v>61.7</v>
      </c>
      <c r="J77">
        <v>85</v>
      </c>
      <c r="K77" s="2"/>
      <c r="P77" s="2">
        <v>1.4</v>
      </c>
      <c r="V77" t="s">
        <v>121</v>
      </c>
      <c r="W77" s="2"/>
      <c r="AA77" s="6"/>
      <c r="AB77" s="6"/>
      <c r="AC77" s="2" t="s">
        <v>405</v>
      </c>
      <c r="AD77">
        <v>26</v>
      </c>
      <c r="AE77">
        <v>13</v>
      </c>
      <c r="AF77" t="s">
        <v>39</v>
      </c>
      <c r="AG77" s="6">
        <v>42.6</v>
      </c>
      <c r="AH77" s="6">
        <v>-33.1</v>
      </c>
      <c r="AO77" s="2"/>
      <c r="AR77" s="2" t="s">
        <v>39</v>
      </c>
      <c r="AT77" t="s">
        <v>181</v>
      </c>
      <c r="AU77" s="70"/>
      <c r="AV77" s="60"/>
      <c r="AW77" s="7"/>
      <c r="AX77" s="7"/>
      <c r="AY77" s="7"/>
      <c r="AZ77" s="7"/>
      <c r="BA77" s="7"/>
      <c r="BB77" s="7"/>
      <c r="BC77" s="7"/>
    </row>
    <row r="78" spans="1:55">
      <c r="A78" t="s">
        <v>406</v>
      </c>
      <c r="B78" s="51">
        <v>39.839999999999996</v>
      </c>
      <c r="C78" t="str">
        <f>'[1]BQ ms'!G132</f>
        <v>pale sst</v>
      </c>
      <c r="D78">
        <v>350</v>
      </c>
      <c r="E78" s="78">
        <v>0.25280000000000002</v>
      </c>
      <c r="F78" s="49">
        <v>62.1</v>
      </c>
      <c r="G78" t="s">
        <v>407</v>
      </c>
      <c r="I78">
        <v>61.7</v>
      </c>
      <c r="J78">
        <v>85</v>
      </c>
      <c r="K78" s="2" t="s">
        <v>243</v>
      </c>
      <c r="L78">
        <v>83</v>
      </c>
      <c r="M78">
        <v>42</v>
      </c>
      <c r="N78" s="73">
        <v>18.8</v>
      </c>
      <c r="O78" s="73">
        <v>19.100000000000001</v>
      </c>
      <c r="P78" s="2">
        <v>2.5</v>
      </c>
      <c r="Q78" s="4" t="s">
        <v>408</v>
      </c>
      <c r="R78">
        <v>1</v>
      </c>
      <c r="S78">
        <v>-59</v>
      </c>
      <c r="T78" s="5">
        <v>134.5</v>
      </c>
      <c r="U78" s="5">
        <v>-31.5</v>
      </c>
      <c r="V78" t="s">
        <v>121</v>
      </c>
      <c r="AA78" s="6"/>
      <c r="AB78" s="6"/>
      <c r="AC78" s="54" t="s">
        <v>409</v>
      </c>
      <c r="AD78">
        <v>332</v>
      </c>
      <c r="AE78">
        <v>-6</v>
      </c>
      <c r="AF78" t="s">
        <v>39</v>
      </c>
      <c r="AG78" s="6">
        <v>135.1</v>
      </c>
      <c r="AH78" s="6">
        <v>-89</v>
      </c>
      <c r="AI78" s="2" t="s">
        <v>133</v>
      </c>
      <c r="AJ78">
        <v>161</v>
      </c>
      <c r="AK78">
        <v>55</v>
      </c>
      <c r="AL78" t="s">
        <v>39</v>
      </c>
      <c r="AM78">
        <v>324.8</v>
      </c>
      <c r="AN78">
        <v>39.4</v>
      </c>
      <c r="AO78" s="2"/>
      <c r="AR78" s="2" t="s">
        <v>113</v>
      </c>
      <c r="AT78" t="s">
        <v>88</v>
      </c>
      <c r="AU78" s="59"/>
      <c r="AV78" s="60"/>
      <c r="AW78" s="7">
        <v>83.6</v>
      </c>
      <c r="AX78" s="7"/>
      <c r="AY78" s="7"/>
      <c r="AZ78" s="7"/>
      <c r="BA78" s="7"/>
      <c r="BB78" s="7"/>
      <c r="BC78" s="7"/>
    </row>
    <row r="79" spans="1:55">
      <c r="A79" t="s">
        <v>410</v>
      </c>
      <c r="B79" s="51">
        <v>40.67</v>
      </c>
      <c r="C79" t="str">
        <f>'[1]BQ ms'!G135</f>
        <v>dk grey sst</v>
      </c>
      <c r="D79">
        <v>400</v>
      </c>
      <c r="E79" s="78">
        <v>0.39400000000000002</v>
      </c>
      <c r="F79" s="49">
        <v>54.1</v>
      </c>
      <c r="G79" t="s">
        <v>411</v>
      </c>
      <c r="I79">
        <v>79.7</v>
      </c>
      <c r="J79">
        <v>76</v>
      </c>
      <c r="K79" s="2" t="s">
        <v>133</v>
      </c>
      <c r="L79">
        <v>90</v>
      </c>
      <c r="M79">
        <v>10</v>
      </c>
      <c r="N79" s="73">
        <v>72.3</v>
      </c>
      <c r="O79" s="73">
        <v>12.3</v>
      </c>
      <c r="P79" s="2">
        <v>2</v>
      </c>
      <c r="V79" t="s">
        <v>121</v>
      </c>
      <c r="W79" s="2" t="s">
        <v>211</v>
      </c>
      <c r="X79">
        <v>176</v>
      </c>
      <c r="Y79">
        <v>-60</v>
      </c>
      <c r="AA79" s="3">
        <v>173</v>
      </c>
      <c r="AB79" s="3">
        <v>15.8</v>
      </c>
      <c r="AC79" s="2" t="s">
        <v>143</v>
      </c>
      <c r="AD79">
        <v>285</v>
      </c>
      <c r="AE79">
        <v>9</v>
      </c>
      <c r="AF79" t="s">
        <v>39</v>
      </c>
      <c r="AG79" s="6">
        <v>275.60000000000002</v>
      </c>
      <c r="AH79" s="6">
        <v>-21.8</v>
      </c>
      <c r="AO79" s="2"/>
      <c r="AR79" s="2" t="s">
        <v>412</v>
      </c>
      <c r="AT79" t="s">
        <v>181</v>
      </c>
      <c r="AU79" s="70"/>
      <c r="AV79" s="60"/>
      <c r="AW79" s="7"/>
      <c r="AX79" s="7"/>
      <c r="AY79" s="7"/>
      <c r="AZ79" s="7"/>
      <c r="BA79" s="7"/>
      <c r="BB79" s="7"/>
      <c r="BC79" s="7"/>
    </row>
    <row r="80" spans="1:55">
      <c r="A80" t="s">
        <v>413</v>
      </c>
      <c r="B80" s="51">
        <v>41.68</v>
      </c>
      <c r="D80" t="s">
        <v>174</v>
      </c>
      <c r="E80" s="78">
        <v>0.49030000000000001</v>
      </c>
      <c r="F80" s="49">
        <v>35.6</v>
      </c>
      <c r="G80" t="s">
        <v>251</v>
      </c>
      <c r="I80">
        <v>79.7</v>
      </c>
      <c r="J80">
        <v>76</v>
      </c>
      <c r="K80" s="2"/>
      <c r="P80" s="2">
        <v>1.4</v>
      </c>
      <c r="Q80" s="63" t="s">
        <v>414</v>
      </c>
      <c r="R80">
        <v>183</v>
      </c>
      <c r="S80">
        <v>60</v>
      </c>
      <c r="T80" s="5">
        <v>340.7</v>
      </c>
      <c r="U80" s="5">
        <v>43</v>
      </c>
      <c r="W80" s="2" t="s">
        <v>408</v>
      </c>
      <c r="X80">
        <v>205</v>
      </c>
      <c r="Y80">
        <v>-19</v>
      </c>
      <c r="AA80" s="3">
        <v>217.1</v>
      </c>
      <c r="AB80" s="3">
        <v>42.1</v>
      </c>
      <c r="AI80" s="2" t="s">
        <v>76</v>
      </c>
      <c r="AJ80">
        <v>175</v>
      </c>
      <c r="AK80">
        <v>35</v>
      </c>
      <c r="AL80" t="s">
        <v>103</v>
      </c>
      <c r="AM80">
        <v>337.8</v>
      </c>
      <c r="AN80">
        <v>68.5</v>
      </c>
      <c r="AO80" s="54" t="s">
        <v>371</v>
      </c>
      <c r="AP80">
        <v>171</v>
      </c>
      <c r="AQ80">
        <v>-27</v>
      </c>
      <c r="AR80" s="2" t="s">
        <v>167</v>
      </c>
      <c r="AT80" t="s">
        <v>309</v>
      </c>
      <c r="AU80" s="72"/>
      <c r="AV80" s="100"/>
      <c r="AW80" s="7">
        <v>-81.8</v>
      </c>
      <c r="AX80" s="7"/>
      <c r="AY80" s="7"/>
      <c r="AZ80" s="7"/>
      <c r="BA80" s="7"/>
      <c r="BB80" s="7"/>
      <c r="BC80" s="7"/>
    </row>
    <row r="81" spans="1:85">
      <c r="A81" t="s">
        <v>415</v>
      </c>
      <c r="B81" s="51">
        <v>43</v>
      </c>
      <c r="C81" t="str">
        <f>'[1]BQ ms'!G138</f>
        <v>green-grey</v>
      </c>
      <c r="D81" t="s">
        <v>174</v>
      </c>
      <c r="E81" s="78">
        <v>0.19700000000000001</v>
      </c>
      <c r="F81" s="49">
        <v>29.6</v>
      </c>
      <c r="G81" t="s">
        <v>416</v>
      </c>
      <c r="I81">
        <v>77.7</v>
      </c>
      <c r="J81">
        <v>72</v>
      </c>
      <c r="K81" s="2"/>
      <c r="P81" s="2">
        <v>2.5</v>
      </c>
      <c r="Q81" s="4" t="s">
        <v>318</v>
      </c>
      <c r="R81">
        <v>178</v>
      </c>
      <c r="S81">
        <v>37</v>
      </c>
      <c r="T81" s="5">
        <v>324.3</v>
      </c>
      <c r="U81" s="5">
        <v>69</v>
      </c>
      <c r="W81" s="2" t="s">
        <v>417</v>
      </c>
      <c r="X81">
        <v>268</v>
      </c>
      <c r="Y81">
        <v>-38</v>
      </c>
      <c r="AA81" s="3">
        <v>222.7</v>
      </c>
      <c r="AB81" s="3">
        <v>-18.899999999999999</v>
      </c>
      <c r="AI81" s="2" t="s">
        <v>418</v>
      </c>
      <c r="AJ81">
        <v>1</v>
      </c>
      <c r="AK81">
        <v>34</v>
      </c>
      <c r="AL81" t="s">
        <v>40</v>
      </c>
      <c r="AM81">
        <v>1.4</v>
      </c>
      <c r="AN81">
        <v>-36.5</v>
      </c>
      <c r="AO81" s="2" t="s">
        <v>385</v>
      </c>
      <c r="AP81">
        <v>143</v>
      </c>
      <c r="AQ81">
        <v>-40</v>
      </c>
      <c r="AR81" s="2" t="s">
        <v>113</v>
      </c>
      <c r="AT81" t="s">
        <v>114</v>
      </c>
      <c r="AU81" s="72"/>
      <c r="AV81" s="60"/>
      <c r="AW81" s="7">
        <v>-76.8</v>
      </c>
      <c r="AX81" s="7"/>
      <c r="AY81" s="7"/>
      <c r="AZ81" s="7"/>
      <c r="BA81" s="7"/>
      <c r="BB81" s="7"/>
      <c r="BC81" s="7"/>
    </row>
    <row r="82" spans="1:85">
      <c r="A82" t="s">
        <v>419</v>
      </c>
      <c r="B82" s="51">
        <v>46.4</v>
      </c>
      <c r="C82" t="str">
        <f>'[1]BQ ms'!G140</f>
        <v>pale green-grey</v>
      </c>
      <c r="D82" t="s">
        <v>420</v>
      </c>
      <c r="E82" s="74">
        <v>3.14</v>
      </c>
      <c r="F82" s="49">
        <v>33.5</v>
      </c>
      <c r="G82" t="s">
        <v>421</v>
      </c>
      <c r="I82">
        <v>77.7</v>
      </c>
      <c r="J82">
        <v>72</v>
      </c>
      <c r="K82" s="2"/>
      <c r="P82" s="2">
        <v>1.6</v>
      </c>
      <c r="V82" t="s">
        <v>121</v>
      </c>
      <c r="W82" s="2" t="s">
        <v>422</v>
      </c>
      <c r="X82">
        <v>255</v>
      </c>
      <c r="Y82">
        <v>-24</v>
      </c>
      <c r="AA82" s="6">
        <v>234</v>
      </c>
      <c r="AB82" s="6">
        <v>-4.9000000000000004</v>
      </c>
      <c r="AC82" s="54" t="s">
        <v>423</v>
      </c>
      <c r="AD82">
        <v>116</v>
      </c>
      <c r="AE82">
        <v>-22</v>
      </c>
      <c r="AF82" s="61" t="s">
        <v>96</v>
      </c>
      <c r="AG82" s="6">
        <v>114</v>
      </c>
      <c r="AH82" s="6">
        <v>25.5</v>
      </c>
      <c r="AO82" s="2"/>
      <c r="AR82" s="2" t="s">
        <v>39</v>
      </c>
      <c r="AT82" t="s">
        <v>181</v>
      </c>
      <c r="AU82" s="70"/>
      <c r="AV82" s="60"/>
      <c r="AW82" s="7"/>
      <c r="AX82" s="7"/>
      <c r="BC82" s="7"/>
    </row>
    <row r="83" spans="1:85" s="79" customFormat="1">
      <c r="A83" s="79" t="s">
        <v>424</v>
      </c>
      <c r="B83" s="84">
        <v>48</v>
      </c>
      <c r="C83" s="79" t="str">
        <f>'[1]BQ ms'!G142</f>
        <v>green-grey</v>
      </c>
      <c r="E83" s="85">
        <v>0.16</v>
      </c>
      <c r="F83" s="86">
        <v>20.8</v>
      </c>
      <c r="G83" s="79" t="s">
        <v>425</v>
      </c>
      <c r="I83">
        <v>77.7</v>
      </c>
      <c r="J83">
        <v>72</v>
      </c>
      <c r="K83" s="87" t="s">
        <v>426</v>
      </c>
      <c r="L83" s="79">
        <v>147</v>
      </c>
      <c r="M83" s="79">
        <v>39</v>
      </c>
      <c r="N83" s="3">
        <v>24</v>
      </c>
      <c r="O83" s="3">
        <v>62.4</v>
      </c>
      <c r="P83" s="87">
        <v>3</v>
      </c>
      <c r="Q83" s="88" t="s">
        <v>104</v>
      </c>
      <c r="R83" s="92">
        <v>153</v>
      </c>
      <c r="S83" s="92">
        <v>26</v>
      </c>
      <c r="T83" s="5">
        <v>44.7</v>
      </c>
      <c r="U83" s="5">
        <v>74.2</v>
      </c>
      <c r="V83" s="79" t="s">
        <v>427</v>
      </c>
      <c r="W83" s="87"/>
      <c r="Z83" s="73"/>
      <c r="AA83" s="73"/>
      <c r="AB83" s="73"/>
      <c r="AC83" s="87"/>
      <c r="AG83" s="6"/>
      <c r="AH83" s="6"/>
      <c r="AI83" s="87"/>
      <c r="AO83" s="94" t="s">
        <v>428</v>
      </c>
      <c r="AP83" s="92">
        <v>40</v>
      </c>
      <c r="AQ83" s="92">
        <v>38</v>
      </c>
      <c r="AR83" s="87" t="s">
        <v>65</v>
      </c>
      <c r="AS83" s="79" t="s">
        <v>66</v>
      </c>
      <c r="AT83" s="79" t="s">
        <v>114</v>
      </c>
      <c r="AU83" s="112"/>
      <c r="AV83" s="109"/>
      <c r="AW83" s="92"/>
      <c r="AX83">
        <v>-81.599999999999994</v>
      </c>
      <c r="AY83" s="7">
        <f>4.1+180</f>
        <v>184.1</v>
      </c>
      <c r="AZ83" s="7">
        <v>46.1</v>
      </c>
      <c r="BA83" s="7"/>
      <c r="BB83" s="7"/>
      <c r="BC83" s="92"/>
    </row>
    <row r="84" spans="1:85">
      <c r="A84" t="s">
        <v>429</v>
      </c>
      <c r="B84" s="51">
        <v>49.12</v>
      </c>
      <c r="C84" t="s">
        <v>240</v>
      </c>
      <c r="D84" t="s">
        <v>330</v>
      </c>
      <c r="E84" s="74">
        <v>3.8050000000000002</v>
      </c>
      <c r="F84" s="49">
        <v>33</v>
      </c>
      <c r="G84" t="s">
        <v>430</v>
      </c>
      <c r="I84">
        <v>77.7</v>
      </c>
      <c r="J84">
        <v>72</v>
      </c>
      <c r="K84" s="71"/>
      <c r="P84" s="2">
        <v>2</v>
      </c>
      <c r="V84" t="s">
        <v>121</v>
      </c>
      <c r="AC84" s="54" t="s">
        <v>244</v>
      </c>
      <c r="AD84">
        <v>253</v>
      </c>
      <c r="AE84">
        <v>13</v>
      </c>
      <c r="AF84" t="s">
        <v>39</v>
      </c>
      <c r="AG84" s="6">
        <v>268.7</v>
      </c>
      <c r="AH84" s="6">
        <v>8.4</v>
      </c>
      <c r="AI84" s="2" t="s">
        <v>85</v>
      </c>
      <c r="AJ84">
        <v>224</v>
      </c>
      <c r="AK84">
        <v>11</v>
      </c>
      <c r="AL84" t="s">
        <v>39</v>
      </c>
      <c r="AM84" s="6">
        <v>258.60000000000002</v>
      </c>
      <c r="AN84" s="6">
        <v>35.200000000000003</v>
      </c>
      <c r="AO84" s="2" t="s">
        <v>340</v>
      </c>
      <c r="AP84">
        <v>327</v>
      </c>
      <c r="AQ84">
        <v>46</v>
      </c>
      <c r="AR84" s="2" t="s">
        <v>105</v>
      </c>
      <c r="AS84" t="s">
        <v>87</v>
      </c>
      <c r="AT84" t="s">
        <v>88</v>
      </c>
      <c r="AU84" s="114"/>
      <c r="AV84" s="77"/>
      <c r="AW84" s="7"/>
      <c r="AX84">
        <v>78.5</v>
      </c>
      <c r="AY84" s="7">
        <v>351.6</v>
      </c>
      <c r="AZ84" s="7">
        <v>-41.3</v>
      </c>
      <c r="BA84" s="7"/>
      <c r="BB84" s="7"/>
      <c r="BC84" s="7"/>
      <c r="CG84" t="s">
        <v>431</v>
      </c>
    </row>
    <row r="85" spans="1:85" s="79" customFormat="1">
      <c r="A85" s="79" t="s">
        <v>432</v>
      </c>
      <c r="B85" s="84">
        <v>49.12</v>
      </c>
      <c r="C85" s="79" t="s">
        <v>240</v>
      </c>
      <c r="D85" s="79" t="s">
        <v>241</v>
      </c>
      <c r="E85" s="104">
        <v>6.3860000000000001</v>
      </c>
      <c r="F85" s="86">
        <v>43.1</v>
      </c>
      <c r="G85" s="79" t="s">
        <v>433</v>
      </c>
      <c r="H85" s="79">
        <v>25.736000000000001</v>
      </c>
      <c r="I85">
        <v>77.7</v>
      </c>
      <c r="J85">
        <v>72</v>
      </c>
      <c r="K85" s="87" t="s">
        <v>92</v>
      </c>
      <c r="L85" s="79">
        <v>211</v>
      </c>
      <c r="M85" s="79">
        <v>37</v>
      </c>
      <c r="N85" s="89">
        <v>293.3</v>
      </c>
      <c r="O85" s="89">
        <v>47.6</v>
      </c>
      <c r="P85" s="87">
        <v>7</v>
      </c>
      <c r="Q85" s="88" t="s">
        <v>434</v>
      </c>
      <c r="R85" s="92">
        <v>334</v>
      </c>
      <c r="S85" s="92">
        <v>-61</v>
      </c>
      <c r="T85" s="5">
        <v>177.2</v>
      </c>
      <c r="U85" s="5">
        <v>-45.9</v>
      </c>
      <c r="V85" s="79" t="s">
        <v>435</v>
      </c>
      <c r="W85" s="87" t="s">
        <v>122</v>
      </c>
      <c r="X85" s="92">
        <v>290</v>
      </c>
      <c r="Y85" s="92">
        <v>-42</v>
      </c>
      <c r="Z85" s="53"/>
      <c r="AA85" s="6">
        <v>218.4</v>
      </c>
      <c r="AB85" s="6">
        <v>-35.799999999999997</v>
      </c>
      <c r="AC85" s="90" t="s">
        <v>339</v>
      </c>
      <c r="AD85" s="91">
        <v>206</v>
      </c>
      <c r="AE85" s="91">
        <v>59</v>
      </c>
      <c r="AF85" s="79" t="s">
        <v>40</v>
      </c>
      <c r="AG85" s="6">
        <v>322.89999999999998</v>
      </c>
      <c r="AH85" s="6">
        <v>40.5</v>
      </c>
      <c r="AI85" s="87"/>
      <c r="AO85" s="94" t="s">
        <v>104</v>
      </c>
      <c r="AP85" s="79">
        <v>174</v>
      </c>
      <c r="AQ85" s="79">
        <v>-27</v>
      </c>
      <c r="AR85" s="87" t="s">
        <v>113</v>
      </c>
      <c r="AS85" s="79" t="s">
        <v>66</v>
      </c>
      <c r="AT85" s="79" t="s">
        <v>67</v>
      </c>
      <c r="AU85" s="106"/>
      <c r="AV85" s="107"/>
      <c r="AW85" s="7">
        <v>69.7</v>
      </c>
      <c r="AX85" s="51"/>
      <c r="AY85" s="66"/>
      <c r="AZ85" s="66"/>
      <c r="BA85" s="66"/>
      <c r="BB85" s="66"/>
      <c r="BC85" s="92"/>
    </row>
    <row r="86" spans="1:85" s="115" customFormat="1">
      <c r="A86" s="115" t="s">
        <v>436</v>
      </c>
      <c r="B86" s="117">
        <v>50.3</v>
      </c>
      <c r="C86" s="115" t="str">
        <f>'[1]BQ ms'!G148</f>
        <v>green-grey</v>
      </c>
      <c r="D86" s="115" t="s">
        <v>420</v>
      </c>
      <c r="E86" s="118">
        <v>0.36199999999999999</v>
      </c>
      <c r="F86" s="119">
        <v>29.3</v>
      </c>
      <c r="G86" s="115" t="s">
        <v>437</v>
      </c>
      <c r="I86">
        <v>77.7</v>
      </c>
      <c r="J86">
        <v>72</v>
      </c>
      <c r="K86" s="120"/>
      <c r="P86" s="120">
        <v>3</v>
      </c>
      <c r="V86" s="115" t="s">
        <v>121</v>
      </c>
      <c r="AC86" s="120" t="s">
        <v>438</v>
      </c>
      <c r="AD86" s="121">
        <v>4</v>
      </c>
      <c r="AE86" s="121">
        <v>0</v>
      </c>
      <c r="AF86" s="122" t="s">
        <v>96</v>
      </c>
      <c r="AG86" s="6">
        <v>31.1</v>
      </c>
      <c r="AH86" s="6">
        <v>-65.900000000000006</v>
      </c>
      <c r="AI86" s="120" t="s">
        <v>385</v>
      </c>
      <c r="AJ86" s="115">
        <v>187</v>
      </c>
      <c r="AK86" s="115">
        <v>-44</v>
      </c>
      <c r="AL86" s="122" t="s">
        <v>96</v>
      </c>
      <c r="AM86" s="6">
        <v>183</v>
      </c>
      <c r="AN86" s="6">
        <v>25.5</v>
      </c>
      <c r="AO86" s="120"/>
      <c r="AR86" s="120" t="s">
        <v>39</v>
      </c>
      <c r="AT86" s="115" t="s">
        <v>181</v>
      </c>
      <c r="AU86" s="123"/>
      <c r="AV86" s="124"/>
      <c r="AW86" s="121"/>
      <c r="AX86" s="121"/>
      <c r="AY86" s="121"/>
      <c r="AZ86" s="121"/>
      <c r="BA86" s="121"/>
      <c r="BB86" s="121"/>
      <c r="BC86" s="121"/>
    </row>
    <row r="87" spans="1:85">
      <c r="A87" t="s">
        <v>439</v>
      </c>
      <c r="B87" s="51">
        <v>51.58</v>
      </c>
      <c r="C87" t="s">
        <v>240</v>
      </c>
      <c r="D87" t="s">
        <v>241</v>
      </c>
      <c r="E87" s="74">
        <v>7.093</v>
      </c>
      <c r="F87" s="49">
        <v>24.7</v>
      </c>
      <c r="G87" t="s">
        <v>440</v>
      </c>
      <c r="I87">
        <v>77.7</v>
      </c>
      <c r="J87">
        <v>72</v>
      </c>
      <c r="K87" s="71"/>
      <c r="P87" s="2">
        <v>5</v>
      </c>
      <c r="V87" t="s">
        <v>121</v>
      </c>
      <c r="AC87" s="2" t="s">
        <v>441</v>
      </c>
      <c r="AD87" s="53">
        <v>249</v>
      </c>
      <c r="AE87" s="53">
        <v>31</v>
      </c>
      <c r="AF87" t="s">
        <v>39</v>
      </c>
      <c r="AG87" s="6">
        <v>285.7</v>
      </c>
      <c r="AH87" s="6">
        <v>16.399999999999999</v>
      </c>
      <c r="AI87" s="2" t="s">
        <v>76</v>
      </c>
      <c r="AJ87">
        <v>197</v>
      </c>
      <c r="AK87">
        <v>25</v>
      </c>
      <c r="AL87" t="s">
        <v>39</v>
      </c>
      <c r="AM87" s="6">
        <v>277.3</v>
      </c>
      <c r="AN87" s="6">
        <v>61.9</v>
      </c>
      <c r="AO87" s="2" t="s">
        <v>340</v>
      </c>
      <c r="AP87">
        <v>170</v>
      </c>
      <c r="AQ87">
        <v>-54</v>
      </c>
      <c r="AR87" s="2" t="s">
        <v>39</v>
      </c>
      <c r="AS87" s="53" t="s">
        <v>87</v>
      </c>
      <c r="AT87" t="s">
        <v>181</v>
      </c>
      <c r="AU87" s="114"/>
      <c r="AV87" s="60"/>
      <c r="AW87" s="7"/>
      <c r="AX87" s="79"/>
      <c r="AY87" s="125"/>
      <c r="AZ87" s="125"/>
      <c r="BA87" s="126"/>
      <c r="BB87" s="126"/>
      <c r="BC87" s="7"/>
      <c r="BQ87" s="115"/>
    </row>
    <row r="88" spans="1:85" s="79" customFormat="1">
      <c r="A88" s="79" t="s">
        <v>442</v>
      </c>
      <c r="B88" s="84">
        <v>51.58</v>
      </c>
      <c r="C88" s="79" t="s">
        <v>240</v>
      </c>
      <c r="D88" s="79" t="s">
        <v>330</v>
      </c>
      <c r="E88" s="104">
        <v>9.08</v>
      </c>
      <c r="F88" s="86">
        <v>31.6</v>
      </c>
      <c r="G88" s="79" t="s">
        <v>443</v>
      </c>
      <c r="H88" s="79">
        <v>23.300999999999998</v>
      </c>
      <c r="I88">
        <v>77.7</v>
      </c>
      <c r="J88">
        <v>72</v>
      </c>
      <c r="K88" s="87"/>
      <c r="N88" s="89"/>
      <c r="O88" s="89"/>
      <c r="P88" s="87">
        <v>4</v>
      </c>
      <c r="Q88" s="88" t="s">
        <v>222</v>
      </c>
      <c r="R88" s="79">
        <v>323</v>
      </c>
      <c r="S88" s="79">
        <v>-54</v>
      </c>
      <c r="T88" s="67">
        <v>189.8</v>
      </c>
      <c r="U88" s="67">
        <v>-49.3</v>
      </c>
      <c r="V88" s="79" t="s">
        <v>121</v>
      </c>
      <c r="AC88" s="87" t="s">
        <v>444</v>
      </c>
      <c r="AD88" s="92">
        <v>136</v>
      </c>
      <c r="AE88" s="92">
        <v>48</v>
      </c>
      <c r="AF88" s="79" t="s">
        <v>40</v>
      </c>
      <c r="AG88" s="6">
        <v>21.2</v>
      </c>
      <c r="AH88" s="6">
        <v>50.5</v>
      </c>
      <c r="AI88" s="87" t="s">
        <v>92</v>
      </c>
      <c r="AJ88" s="92">
        <v>215</v>
      </c>
      <c r="AK88" s="92">
        <v>42</v>
      </c>
      <c r="AL88" s="79" t="s">
        <v>39</v>
      </c>
      <c r="AM88" s="6">
        <v>299</v>
      </c>
      <c r="AN88" s="6">
        <v>43.3</v>
      </c>
      <c r="AO88" s="94" t="s">
        <v>130</v>
      </c>
      <c r="AP88" s="79">
        <v>350</v>
      </c>
      <c r="AQ88" s="79">
        <v>34</v>
      </c>
      <c r="AR88" s="87" t="s">
        <v>167</v>
      </c>
      <c r="AS88" s="79" t="s">
        <v>66</v>
      </c>
      <c r="AT88" s="79" t="s">
        <v>168</v>
      </c>
      <c r="AU88" s="106"/>
      <c r="AV88" s="107"/>
      <c r="AW88" s="7">
        <v>61.4</v>
      </c>
      <c r="AX88" s="51"/>
      <c r="AY88" s="66"/>
      <c r="AZ88" s="66"/>
      <c r="BA88" s="66"/>
      <c r="BB88" s="66"/>
      <c r="BC88" s="92"/>
    </row>
    <row r="89" spans="1:85">
      <c r="A89" t="s">
        <v>445</v>
      </c>
      <c r="B89" s="51">
        <v>53.05</v>
      </c>
      <c r="C89" s="53" t="s">
        <v>240</v>
      </c>
      <c r="D89" t="s">
        <v>446</v>
      </c>
      <c r="E89" s="74">
        <v>4.99</v>
      </c>
      <c r="F89" s="49">
        <v>27</v>
      </c>
      <c r="G89" t="s">
        <v>447</v>
      </c>
      <c r="I89">
        <v>77.7</v>
      </c>
      <c r="J89">
        <v>72</v>
      </c>
      <c r="K89" s="2"/>
      <c r="P89" s="2">
        <v>0.8</v>
      </c>
      <c r="V89" t="s">
        <v>448</v>
      </c>
      <c r="W89" s="2"/>
      <c r="AA89" s="6"/>
      <c r="AB89" s="6"/>
      <c r="AC89" s="2" t="s">
        <v>449</v>
      </c>
      <c r="AD89" s="53">
        <v>247</v>
      </c>
      <c r="AE89" s="53">
        <v>1</v>
      </c>
      <c r="AF89" t="s">
        <v>39</v>
      </c>
      <c r="AG89" s="6">
        <v>255.3</v>
      </c>
      <c r="AH89" s="6">
        <v>10.5</v>
      </c>
      <c r="AO89" s="2"/>
      <c r="AR89" s="2" t="s">
        <v>39</v>
      </c>
      <c r="AT89" t="s">
        <v>181</v>
      </c>
      <c r="AU89" s="70"/>
      <c r="AV89" s="60"/>
      <c r="AW89" s="7"/>
      <c r="AX89" s="7"/>
      <c r="AY89" s="7"/>
      <c r="AZ89" s="7"/>
      <c r="BA89" s="7"/>
      <c r="BB89" s="7"/>
      <c r="BC89" s="7"/>
      <c r="BG89" s="53"/>
    </row>
    <row r="90" spans="1:85">
      <c r="A90" t="s">
        <v>450</v>
      </c>
      <c r="B90" s="51">
        <v>56.14</v>
      </c>
      <c r="C90" t="str">
        <f>'[1]BQ ms'!G158</f>
        <v>green-grey</v>
      </c>
      <c r="D90" t="s">
        <v>174</v>
      </c>
      <c r="E90" s="52">
        <v>0.14499999999999999</v>
      </c>
      <c r="F90" s="49">
        <v>26.9</v>
      </c>
      <c r="G90" t="s">
        <v>451</v>
      </c>
      <c r="I90">
        <v>77.7</v>
      </c>
      <c r="J90">
        <v>72</v>
      </c>
      <c r="K90" s="2"/>
      <c r="P90" s="2">
        <v>2</v>
      </c>
      <c r="W90" s="73" t="s">
        <v>128</v>
      </c>
      <c r="X90">
        <v>236</v>
      </c>
      <c r="Y90">
        <v>-37</v>
      </c>
      <c r="AA90" s="6">
        <v>215.9</v>
      </c>
      <c r="AB90" s="6">
        <v>5.4</v>
      </c>
      <c r="AD90" s="53"/>
      <c r="AE90" s="53"/>
      <c r="AI90" s="2" t="s">
        <v>318</v>
      </c>
      <c r="AJ90">
        <v>208</v>
      </c>
      <c r="AK90">
        <v>28</v>
      </c>
      <c r="AL90" t="s">
        <v>39</v>
      </c>
      <c r="AM90">
        <v>280.39999999999998</v>
      </c>
      <c r="AN90">
        <v>51.8</v>
      </c>
      <c r="AO90" s="2"/>
      <c r="AR90" s="2" t="s">
        <v>190</v>
      </c>
      <c r="AT90" t="s">
        <v>181</v>
      </c>
      <c r="AU90" s="70"/>
      <c r="AV90" s="60"/>
      <c r="AW90" s="7"/>
      <c r="AX90" s="7"/>
      <c r="AY90" s="7"/>
      <c r="AZ90" s="7"/>
      <c r="BA90" s="7"/>
      <c r="BB90" s="7"/>
      <c r="BC90" s="7"/>
      <c r="BG90" s="53"/>
    </row>
    <row r="91" spans="1:85">
      <c r="A91" t="s">
        <v>452</v>
      </c>
      <c r="B91" s="51">
        <v>57.8</v>
      </c>
      <c r="C91" t="str">
        <f>'[1]BQ ms'!G162</f>
        <v>pale grey</v>
      </c>
      <c r="D91" t="s">
        <v>174</v>
      </c>
      <c r="E91" s="78">
        <v>0.11799999999999999</v>
      </c>
      <c r="F91" s="49">
        <v>30.4</v>
      </c>
      <c r="G91" t="s">
        <v>453</v>
      </c>
      <c r="I91">
        <v>77.7</v>
      </c>
      <c r="J91">
        <v>72</v>
      </c>
      <c r="K91" s="2" t="s">
        <v>266</v>
      </c>
      <c r="L91">
        <v>92</v>
      </c>
      <c r="M91">
        <v>48</v>
      </c>
      <c r="N91" s="3">
        <v>32.4</v>
      </c>
      <c r="O91" s="3">
        <v>22.8</v>
      </c>
      <c r="P91" s="2">
        <v>4</v>
      </c>
      <c r="W91" s="73" t="s">
        <v>293</v>
      </c>
      <c r="X91">
        <v>212</v>
      </c>
      <c r="Y91">
        <v>-42</v>
      </c>
      <c r="AA91" s="6">
        <v>200.7</v>
      </c>
      <c r="AB91" s="6">
        <v>17.399999999999999</v>
      </c>
      <c r="AD91" s="53"/>
      <c r="AE91" s="53"/>
      <c r="AO91" s="2"/>
      <c r="AR91" s="2" t="s">
        <v>190</v>
      </c>
      <c r="AT91" t="s">
        <v>181</v>
      </c>
      <c r="AU91" s="70"/>
      <c r="AV91" s="60"/>
      <c r="AW91" s="7"/>
      <c r="AX91" s="7"/>
      <c r="AY91" s="7"/>
      <c r="AZ91" s="7"/>
      <c r="BA91" s="7"/>
      <c r="BB91" s="7"/>
      <c r="BC91" s="7"/>
      <c r="BG91" s="53"/>
    </row>
    <row r="92" spans="1:85">
      <c r="A92" t="s">
        <v>455</v>
      </c>
      <c r="B92" s="51">
        <v>57.25</v>
      </c>
      <c r="D92" t="s">
        <v>174</v>
      </c>
      <c r="E92" s="78">
        <v>0.19500000000000001</v>
      </c>
      <c r="F92" s="49">
        <v>36.200000000000003</v>
      </c>
      <c r="G92" t="s">
        <v>456</v>
      </c>
      <c r="I92">
        <v>77.7</v>
      </c>
      <c r="J92">
        <v>72</v>
      </c>
      <c r="K92" s="2"/>
      <c r="P92" s="2">
        <v>2</v>
      </c>
      <c r="Q92" t="s">
        <v>457</v>
      </c>
      <c r="R92">
        <v>315</v>
      </c>
      <c r="S92">
        <v>-42</v>
      </c>
      <c r="T92" s="67">
        <v>209.9</v>
      </c>
      <c r="U92" s="67">
        <v>-53.3</v>
      </c>
      <c r="V92" t="s">
        <v>121</v>
      </c>
      <c r="W92" s="73"/>
      <c r="AA92" s="6"/>
      <c r="AB92" s="6"/>
      <c r="AC92" s="2" t="s">
        <v>458</v>
      </c>
      <c r="AD92" s="53">
        <v>154</v>
      </c>
      <c r="AE92" s="53">
        <v>-42</v>
      </c>
      <c r="AF92" t="s">
        <v>96</v>
      </c>
      <c r="AG92" s="103">
        <v>156.1</v>
      </c>
      <c r="AH92" s="103">
        <v>28.7</v>
      </c>
      <c r="AI92" s="2" t="s">
        <v>459</v>
      </c>
      <c r="AJ92">
        <v>108</v>
      </c>
      <c r="AK92">
        <v>51</v>
      </c>
      <c r="AL92" t="s">
        <v>40</v>
      </c>
      <c r="AM92">
        <v>28</v>
      </c>
      <c r="AN92">
        <v>32.799999999999997</v>
      </c>
      <c r="AO92" s="54" t="s">
        <v>371</v>
      </c>
      <c r="AP92">
        <v>11</v>
      </c>
      <c r="AQ92">
        <v>37</v>
      </c>
      <c r="AR92" s="2" t="s">
        <v>460</v>
      </c>
      <c r="AS92" t="s">
        <v>66</v>
      </c>
      <c r="AT92" t="s">
        <v>168</v>
      </c>
      <c r="AU92" s="59"/>
      <c r="AV92" s="69"/>
      <c r="AW92" s="7"/>
      <c r="AX92">
        <v>89</v>
      </c>
      <c r="AY92">
        <v>358</v>
      </c>
      <c r="AZ92" s="7">
        <v>-52.3</v>
      </c>
      <c r="BA92" s="7"/>
      <c r="BB92" s="7"/>
      <c r="BC92" s="7"/>
      <c r="BG92" s="53"/>
    </row>
    <row r="93" spans="1:85">
      <c r="A93" t="s">
        <v>461</v>
      </c>
      <c r="B93" s="51">
        <v>57.93</v>
      </c>
      <c r="C93" t="str">
        <f>'[1]BQ ms'!G164</f>
        <v>dk grey+pale grey- one mislabllede??</v>
      </c>
      <c r="D93" t="s">
        <v>174</v>
      </c>
      <c r="E93" s="78">
        <v>0.189</v>
      </c>
      <c r="F93" s="49">
        <v>31.9</v>
      </c>
      <c r="G93" t="s">
        <v>462</v>
      </c>
      <c r="I93">
        <v>77.7</v>
      </c>
      <c r="J93">
        <v>72</v>
      </c>
      <c r="P93" s="2">
        <v>2</v>
      </c>
      <c r="V93" t="s">
        <v>210</v>
      </c>
      <c r="W93" s="73" t="s">
        <v>463</v>
      </c>
      <c r="X93">
        <v>246</v>
      </c>
      <c r="Y93">
        <v>-51</v>
      </c>
      <c r="AA93" s="6">
        <v>206.1</v>
      </c>
      <c r="AB93" s="6">
        <v>-6.8</v>
      </c>
      <c r="AD93" s="53"/>
      <c r="AE93" s="53"/>
      <c r="AI93" s="2" t="s">
        <v>59</v>
      </c>
      <c r="AJ93">
        <v>110</v>
      </c>
      <c r="AK93">
        <v>-58</v>
      </c>
      <c r="AL93" t="s">
        <v>96</v>
      </c>
      <c r="AM93" s="79">
        <v>141.1</v>
      </c>
      <c r="AN93" s="79">
        <v>0.4</v>
      </c>
      <c r="AO93" s="2" t="s">
        <v>464</v>
      </c>
      <c r="AP93">
        <v>233</v>
      </c>
      <c r="AQ93">
        <v>-38</v>
      </c>
      <c r="AR93" s="2" t="s">
        <v>105</v>
      </c>
      <c r="AS93" t="s">
        <v>87</v>
      </c>
      <c r="AT93" t="s">
        <v>88</v>
      </c>
      <c r="AU93" s="59"/>
      <c r="AV93" s="60"/>
      <c r="AW93" s="7"/>
      <c r="AX93">
        <v>76.400000000000006</v>
      </c>
      <c r="AY93">
        <v>9.5</v>
      </c>
      <c r="AZ93" s="7">
        <v>-42.9</v>
      </c>
      <c r="BA93" s="7"/>
      <c r="BB93" s="7"/>
      <c r="BC93" s="7"/>
      <c r="BG93" s="53"/>
    </row>
    <row r="94" spans="1:85">
      <c r="A94" t="s">
        <v>465</v>
      </c>
      <c r="B94" s="51">
        <v>58.75</v>
      </c>
      <c r="C94" t="str">
        <f>'[1]BQ ms'!G166</f>
        <v>dk grey</v>
      </c>
      <c r="D94" t="s">
        <v>174</v>
      </c>
      <c r="E94" s="78">
        <v>0.15759999999999999</v>
      </c>
      <c r="F94" s="49">
        <v>36</v>
      </c>
      <c r="G94" t="s">
        <v>466</v>
      </c>
      <c r="I94">
        <v>77.7</v>
      </c>
      <c r="J94">
        <v>72</v>
      </c>
      <c r="K94" s="2"/>
      <c r="P94" s="2">
        <v>1.7</v>
      </c>
      <c r="Q94" t="s">
        <v>467</v>
      </c>
      <c r="R94">
        <v>314</v>
      </c>
      <c r="S94">
        <v>-53</v>
      </c>
      <c r="T94" s="5">
        <v>196.6</v>
      </c>
      <c r="U94" s="5">
        <v>-46.3</v>
      </c>
      <c r="W94" s="73"/>
      <c r="AA94" s="6"/>
      <c r="AB94" s="6"/>
      <c r="AC94" s="2" t="s">
        <v>243</v>
      </c>
      <c r="AD94" s="53">
        <v>3</v>
      </c>
      <c r="AE94" s="53">
        <v>36</v>
      </c>
      <c r="AF94" t="s">
        <v>40</v>
      </c>
      <c r="AG94" s="6">
        <v>2.6</v>
      </c>
      <c r="AH94" s="6">
        <v>-34.1</v>
      </c>
      <c r="AI94" s="2" t="s">
        <v>468</v>
      </c>
      <c r="AJ94">
        <v>94</v>
      </c>
      <c r="AK94">
        <v>-25</v>
      </c>
      <c r="AL94" t="s">
        <v>39</v>
      </c>
      <c r="AM94">
        <v>106.6</v>
      </c>
      <c r="AN94">
        <v>6.4</v>
      </c>
      <c r="AO94" s="2"/>
      <c r="AR94" s="2" t="s">
        <v>469</v>
      </c>
      <c r="AT94" t="s">
        <v>168</v>
      </c>
      <c r="AU94" s="59"/>
      <c r="AV94" s="69"/>
      <c r="AW94" s="7">
        <v>53.9</v>
      </c>
      <c r="AX94" s="7"/>
      <c r="AY94" s="7"/>
      <c r="AZ94" s="7"/>
      <c r="BA94" s="7"/>
      <c r="BB94" s="7"/>
      <c r="BC94" s="7"/>
      <c r="BG94" s="53"/>
    </row>
    <row r="95" spans="1:85">
      <c r="A95" t="s">
        <v>470</v>
      </c>
      <c r="B95" s="51">
        <v>59.55</v>
      </c>
      <c r="C95" t="str">
        <f>'[1]BQ ms'!G169</f>
        <v>pale grey</v>
      </c>
      <c r="D95" t="s">
        <v>351</v>
      </c>
      <c r="E95" s="78">
        <v>0.51400000000000001</v>
      </c>
      <c r="F95" s="49">
        <v>31.3</v>
      </c>
      <c r="G95" t="s">
        <v>471</v>
      </c>
      <c r="I95">
        <v>77.7</v>
      </c>
      <c r="J95">
        <v>72</v>
      </c>
      <c r="K95" s="2"/>
      <c r="P95" s="2">
        <v>2</v>
      </c>
      <c r="Q95" s="63" t="s">
        <v>423</v>
      </c>
      <c r="R95">
        <v>161</v>
      </c>
      <c r="S95">
        <v>32</v>
      </c>
      <c r="T95" s="5">
        <v>9.8000000000000007</v>
      </c>
      <c r="U95" s="5">
        <v>74.8</v>
      </c>
      <c r="V95" t="s">
        <v>472</v>
      </c>
      <c r="AC95" s="2" t="s">
        <v>422</v>
      </c>
      <c r="AD95" s="53">
        <v>21</v>
      </c>
      <c r="AE95" s="53">
        <v>-10</v>
      </c>
      <c r="AF95" t="s">
        <v>39</v>
      </c>
      <c r="AG95" s="6">
        <v>68.3</v>
      </c>
      <c r="AH95" s="6">
        <v>-56.8</v>
      </c>
      <c r="AI95" s="2" t="s">
        <v>473</v>
      </c>
      <c r="AJ95" s="53">
        <v>188</v>
      </c>
      <c r="AK95" s="53">
        <v>15</v>
      </c>
      <c r="AL95" t="s">
        <v>39</v>
      </c>
      <c r="AM95" s="6">
        <v>251.9</v>
      </c>
      <c r="AN95" s="6">
        <v>70.3</v>
      </c>
      <c r="AO95" s="2"/>
      <c r="AR95" s="2" t="s">
        <v>113</v>
      </c>
      <c r="AT95" t="s">
        <v>309</v>
      </c>
      <c r="AU95" s="72"/>
      <c r="AV95" s="100"/>
      <c r="AW95" s="7">
        <v>-67.7</v>
      </c>
      <c r="AX95" s="7"/>
      <c r="AY95" s="7"/>
      <c r="AZ95" s="7"/>
      <c r="BA95" s="7"/>
      <c r="BB95" s="7"/>
      <c r="BC95" s="7"/>
    </row>
    <row r="96" spans="1:85">
      <c r="A96" t="s">
        <v>474</v>
      </c>
      <c r="B96" s="51">
        <v>60.44</v>
      </c>
      <c r="C96" t="str">
        <f>'[1]BQ ms'!G171</f>
        <v>grey</v>
      </c>
      <c r="D96" t="s">
        <v>174</v>
      </c>
      <c r="E96" s="78">
        <v>0.14799999999999999</v>
      </c>
      <c r="F96" s="49">
        <v>29.7</v>
      </c>
      <c r="G96" t="s">
        <v>475</v>
      </c>
      <c r="I96">
        <v>87.7</v>
      </c>
      <c r="J96">
        <v>68</v>
      </c>
      <c r="K96" s="2" t="s">
        <v>243</v>
      </c>
      <c r="L96">
        <v>67</v>
      </c>
      <c r="M96">
        <v>64</v>
      </c>
      <c r="N96" s="3">
        <v>22.4</v>
      </c>
      <c r="O96" s="3">
        <v>11.1</v>
      </c>
      <c r="P96" s="2">
        <v>2</v>
      </c>
      <c r="Q96" s="127" t="s">
        <v>476</v>
      </c>
      <c r="R96">
        <v>215</v>
      </c>
      <c r="S96">
        <v>43</v>
      </c>
      <c r="T96" s="5">
        <v>310.8</v>
      </c>
      <c r="U96" s="5">
        <v>52.6</v>
      </c>
      <c r="V96" t="s">
        <v>477</v>
      </c>
      <c r="W96" t="s">
        <v>478</v>
      </c>
      <c r="X96">
        <v>250</v>
      </c>
      <c r="Y96">
        <v>-72</v>
      </c>
      <c r="AA96" s="6">
        <v>195.5</v>
      </c>
      <c r="AB96" s="6">
        <v>-15.6</v>
      </c>
      <c r="AC96" s="2" t="s">
        <v>479</v>
      </c>
      <c r="AD96" s="53"/>
      <c r="AE96" s="53"/>
      <c r="AJ96" s="53"/>
      <c r="AK96" s="53"/>
      <c r="AM96" s="6"/>
      <c r="AN96" s="6"/>
      <c r="AO96" s="2" t="s">
        <v>340</v>
      </c>
      <c r="AP96">
        <v>315</v>
      </c>
      <c r="AQ96">
        <v>9</v>
      </c>
      <c r="AR96" s="2" t="s">
        <v>113</v>
      </c>
      <c r="AT96" t="s">
        <v>123</v>
      </c>
      <c r="AU96" s="64"/>
      <c r="AV96" s="60"/>
      <c r="AW96" s="7">
        <v>-56.6</v>
      </c>
      <c r="AX96" s="7"/>
      <c r="AY96" s="7"/>
      <c r="AZ96" s="7"/>
      <c r="BA96" s="7"/>
      <c r="BB96" s="7"/>
      <c r="BC96" s="7"/>
    </row>
    <row r="97" spans="1:55" s="7" customFormat="1">
      <c r="A97" s="7" t="s">
        <v>480</v>
      </c>
      <c r="B97" s="66">
        <v>60.84</v>
      </c>
      <c r="C97" s="7" t="str">
        <f>'[1]BQ ms'!G173</f>
        <v>grey</v>
      </c>
      <c r="D97" s="7" t="s">
        <v>481</v>
      </c>
      <c r="E97" s="78">
        <v>0.12989999999999999</v>
      </c>
      <c r="F97" s="81">
        <v>36.6</v>
      </c>
      <c r="G97" s="7" t="s">
        <v>482</v>
      </c>
      <c r="I97">
        <v>85.7</v>
      </c>
      <c r="J97">
        <v>68</v>
      </c>
      <c r="K97" s="71"/>
      <c r="N97" s="103"/>
      <c r="O97" s="103"/>
      <c r="P97" s="71">
        <v>3</v>
      </c>
      <c r="Q97" s="128"/>
      <c r="T97" s="129"/>
      <c r="U97" s="129"/>
      <c r="V97" s="7" t="s">
        <v>121</v>
      </c>
      <c r="W97" s="7" t="s">
        <v>122</v>
      </c>
      <c r="X97" s="7">
        <v>263</v>
      </c>
      <c r="Y97" s="7">
        <v>-52</v>
      </c>
      <c r="AA97" s="79">
        <v>215.4</v>
      </c>
      <c r="AB97" s="79">
        <v>-15.6</v>
      </c>
      <c r="AC97" s="71"/>
      <c r="AD97" s="53"/>
      <c r="AE97" s="53"/>
      <c r="AG97" s="68"/>
      <c r="AH97" s="68"/>
      <c r="AI97" s="71" t="s">
        <v>211</v>
      </c>
      <c r="AJ97" s="53">
        <v>128</v>
      </c>
      <c r="AK97" s="53">
        <v>-4</v>
      </c>
      <c r="AL97" s="7" t="s">
        <v>39</v>
      </c>
      <c r="AM97">
        <v>108.9</v>
      </c>
      <c r="AN97">
        <v>36.6</v>
      </c>
      <c r="AO97" s="71"/>
      <c r="AR97" s="71" t="s">
        <v>63</v>
      </c>
      <c r="AT97" s="7" t="s">
        <v>181</v>
      </c>
      <c r="AU97" s="70"/>
      <c r="AV97" s="60"/>
    </row>
    <row r="98" spans="1:55" s="7" customFormat="1">
      <c r="A98" s="7" t="s">
        <v>483</v>
      </c>
      <c r="B98" s="66">
        <v>61.25</v>
      </c>
      <c r="C98" s="7" t="str">
        <f>'[1]BQ ms'!G175</f>
        <v>grey to pale grey</v>
      </c>
      <c r="D98" s="7">
        <v>400</v>
      </c>
      <c r="E98" s="78">
        <v>0.36599999999999999</v>
      </c>
      <c r="F98" s="81">
        <v>41.1</v>
      </c>
      <c r="G98" s="7" t="s">
        <v>484</v>
      </c>
      <c r="I98">
        <v>85.7</v>
      </c>
      <c r="J98">
        <v>68</v>
      </c>
      <c r="P98" s="71">
        <v>1.4</v>
      </c>
      <c r="Q98" s="128" t="s">
        <v>457</v>
      </c>
      <c r="R98" s="7">
        <v>24</v>
      </c>
      <c r="S98" s="7">
        <v>-14</v>
      </c>
      <c r="T98" s="105">
        <v>73.900000000000006</v>
      </c>
      <c r="U98" s="105">
        <v>-62</v>
      </c>
      <c r="V98" s="7" t="s">
        <v>485</v>
      </c>
      <c r="W98" s="7" t="s">
        <v>478</v>
      </c>
      <c r="X98" s="7">
        <v>246</v>
      </c>
      <c r="Y98" s="7">
        <v>-60</v>
      </c>
      <c r="AA98" s="73">
        <v>204.2</v>
      </c>
      <c r="AB98" s="73">
        <v>-9.6999999999999993</v>
      </c>
      <c r="AC98" s="71" t="s">
        <v>92</v>
      </c>
      <c r="AD98" s="7">
        <v>60</v>
      </c>
      <c r="AE98" s="7">
        <v>18</v>
      </c>
      <c r="AF98" s="7" t="s">
        <v>40</v>
      </c>
      <c r="AG98" s="3">
        <v>58.5</v>
      </c>
      <c r="AH98" s="3">
        <v>-15.5</v>
      </c>
      <c r="AI98" s="71"/>
      <c r="AJ98" s="53"/>
      <c r="AK98" s="53"/>
      <c r="AM98" s="68"/>
      <c r="AN98" s="68"/>
      <c r="AO98" s="71" t="s">
        <v>135</v>
      </c>
      <c r="AP98" s="7">
        <v>127</v>
      </c>
      <c r="AQ98" s="7">
        <v>-13</v>
      </c>
      <c r="AR98" s="71" t="s">
        <v>65</v>
      </c>
      <c r="AS98" s="7" t="s">
        <v>87</v>
      </c>
      <c r="AT98" s="7" t="s">
        <v>168</v>
      </c>
      <c r="AU98" s="59"/>
      <c r="AV98" s="69"/>
      <c r="AX98">
        <v>75.599999999999994</v>
      </c>
      <c r="AY98">
        <v>14.1</v>
      </c>
      <c r="AZ98" s="7">
        <v>-59.3</v>
      </c>
    </row>
    <row r="99" spans="1:55" s="7" customFormat="1">
      <c r="A99" s="7" t="s">
        <v>486</v>
      </c>
      <c r="B99" s="66">
        <v>62.85</v>
      </c>
      <c r="C99" s="7" t="str">
        <f>'[1]BQ ms'!G177</f>
        <v>pale grey</v>
      </c>
      <c r="D99" s="7" t="s">
        <v>174</v>
      </c>
      <c r="E99" s="78">
        <v>0.22140000000000001</v>
      </c>
      <c r="F99" s="81">
        <v>19.399999999999999</v>
      </c>
      <c r="G99" s="7" t="s">
        <v>487</v>
      </c>
      <c r="I99">
        <v>82.7</v>
      </c>
      <c r="J99">
        <v>69</v>
      </c>
      <c r="K99" s="71" t="s">
        <v>59</v>
      </c>
      <c r="L99" s="7">
        <v>199</v>
      </c>
      <c r="M99" s="7">
        <v>32</v>
      </c>
      <c r="N99" s="79">
        <v>293.3</v>
      </c>
      <c r="O99" s="79">
        <v>64.099999999999994</v>
      </c>
      <c r="P99" s="71">
        <v>2.5</v>
      </c>
      <c r="Q99" s="128"/>
      <c r="W99" s="7" t="s">
        <v>178</v>
      </c>
      <c r="X99" s="7">
        <v>248</v>
      </c>
      <c r="Y99" s="7">
        <v>-39</v>
      </c>
      <c r="AA99" s="6">
        <v>221.5</v>
      </c>
      <c r="AB99" s="6">
        <v>-2.4</v>
      </c>
      <c r="AC99" s="71"/>
      <c r="AD99" s="53"/>
      <c r="AE99" s="53"/>
      <c r="AG99" s="68"/>
      <c r="AH99" s="68"/>
      <c r="AI99" s="71" t="s">
        <v>488</v>
      </c>
      <c r="AJ99" s="53"/>
      <c r="AK99" s="53"/>
      <c r="AM99" s="68"/>
      <c r="AN99" s="68"/>
      <c r="AO99" s="71"/>
      <c r="AR99" s="71" t="s">
        <v>63</v>
      </c>
      <c r="AT99" s="7" t="s">
        <v>181</v>
      </c>
      <c r="AU99" s="70"/>
      <c r="AV99" s="60"/>
    </row>
    <row r="100" spans="1:55" s="7" customFormat="1">
      <c r="A100" s="7" t="s">
        <v>489</v>
      </c>
      <c r="B100" s="66">
        <v>64.17</v>
      </c>
      <c r="C100" s="7" t="str">
        <f>'[1]BQ ms'!G179</f>
        <v>dk grey</v>
      </c>
      <c r="D100" s="7" t="s">
        <v>174</v>
      </c>
      <c r="E100" s="78">
        <v>0.41589999999999999</v>
      </c>
      <c r="F100" s="81">
        <v>30.3</v>
      </c>
      <c r="G100" s="7" t="s">
        <v>475</v>
      </c>
      <c r="I100">
        <v>82.7</v>
      </c>
      <c r="J100">
        <v>48</v>
      </c>
      <c r="K100" s="71" t="s">
        <v>490</v>
      </c>
      <c r="L100" s="7">
        <v>139</v>
      </c>
      <c r="M100" s="7">
        <v>30</v>
      </c>
      <c r="N100" s="3">
        <v>95.7</v>
      </c>
      <c r="O100" s="3">
        <v>60.5</v>
      </c>
      <c r="P100" s="71">
        <v>2.5</v>
      </c>
      <c r="Q100" s="128" t="s">
        <v>418</v>
      </c>
      <c r="R100" s="7">
        <v>39</v>
      </c>
      <c r="S100" s="7">
        <v>-53</v>
      </c>
      <c r="T100" s="101">
        <v>118.6</v>
      </c>
      <c r="U100" s="101">
        <v>-57.5</v>
      </c>
      <c r="AA100" s="103"/>
      <c r="AB100" s="103"/>
      <c r="AC100" s="71"/>
      <c r="AD100" s="53"/>
      <c r="AE100" s="53"/>
      <c r="AG100" s="68"/>
      <c r="AH100" s="68"/>
      <c r="AI100" s="71"/>
      <c r="AJ100" s="53"/>
      <c r="AK100" s="53"/>
      <c r="AM100" s="68"/>
      <c r="AN100" s="68"/>
      <c r="AO100" s="71"/>
      <c r="AR100" s="71" t="s">
        <v>469</v>
      </c>
      <c r="AT100" s="7" t="s">
        <v>168</v>
      </c>
      <c r="AU100" s="59"/>
      <c r="AV100" s="69"/>
      <c r="AW100" s="7">
        <v>55.9</v>
      </c>
    </row>
    <row r="101" spans="1:55" s="7" customFormat="1">
      <c r="A101" s="7" t="s">
        <v>491</v>
      </c>
      <c r="B101" s="66">
        <v>65.599999999999994</v>
      </c>
      <c r="C101" s="7" t="str">
        <f>'[1]BQ ms'!G181</f>
        <v>dk grey-green</v>
      </c>
      <c r="D101" s="7" t="s">
        <v>174</v>
      </c>
      <c r="E101" s="78">
        <v>0.34989999999999999</v>
      </c>
      <c r="F101" s="81">
        <v>28.1</v>
      </c>
      <c r="G101" s="7" t="s">
        <v>492</v>
      </c>
      <c r="I101">
        <v>83.7</v>
      </c>
      <c r="J101">
        <v>47</v>
      </c>
      <c r="K101" s="71"/>
      <c r="N101" s="103"/>
      <c r="O101" s="103"/>
      <c r="P101" s="71">
        <v>3</v>
      </c>
      <c r="Q101" s="128" t="s">
        <v>285</v>
      </c>
      <c r="R101" s="7">
        <v>5</v>
      </c>
      <c r="S101" s="7">
        <v>-31</v>
      </c>
      <c r="T101" s="101">
        <v>34.200000000000003</v>
      </c>
      <c r="U101" s="101">
        <v>-75</v>
      </c>
      <c r="AA101" s="103"/>
      <c r="AB101" s="103"/>
      <c r="AC101" s="71" t="s">
        <v>85</v>
      </c>
      <c r="AD101" s="53">
        <v>290</v>
      </c>
      <c r="AE101" s="53">
        <v>-27</v>
      </c>
      <c r="AF101" s="7" t="s">
        <v>39</v>
      </c>
      <c r="AG101" s="6">
        <v>259.2</v>
      </c>
      <c r="AH101" s="6">
        <v>-36.799999999999997</v>
      </c>
      <c r="AI101" s="71"/>
      <c r="AJ101" s="53"/>
      <c r="AK101" s="53"/>
      <c r="AM101" s="68"/>
      <c r="AN101" s="68"/>
      <c r="AO101" s="102" t="s">
        <v>371</v>
      </c>
      <c r="AP101" s="7">
        <v>264</v>
      </c>
      <c r="AQ101" s="7">
        <v>-16</v>
      </c>
      <c r="AR101" s="71" t="s">
        <v>469</v>
      </c>
      <c r="AT101" s="7" t="s">
        <v>168</v>
      </c>
      <c r="AU101" s="59"/>
      <c r="AV101" s="69"/>
      <c r="AW101" s="7">
        <v>71.599999999999994</v>
      </c>
    </row>
    <row r="102" spans="1:55" s="79" customFormat="1">
      <c r="A102" s="79" t="s">
        <v>493</v>
      </c>
      <c r="B102" s="84">
        <v>67.400000000000006</v>
      </c>
      <c r="C102" s="79" t="s">
        <v>240</v>
      </c>
      <c r="D102" s="79" t="s">
        <v>330</v>
      </c>
      <c r="E102" s="104">
        <v>2.3839999999999999</v>
      </c>
      <c r="F102" s="86">
        <v>24.6</v>
      </c>
      <c r="G102" s="79" t="s">
        <v>494</v>
      </c>
      <c r="I102" s="73">
        <v>83.7</v>
      </c>
      <c r="J102" s="73">
        <v>47</v>
      </c>
      <c r="K102" s="87"/>
      <c r="N102" s="89"/>
      <c r="O102" s="89"/>
      <c r="P102" s="87">
        <v>2</v>
      </c>
      <c r="T102" s="105"/>
      <c r="U102" s="105"/>
      <c r="V102" s="79" t="s">
        <v>121</v>
      </c>
      <c r="AC102" s="87" t="s">
        <v>441</v>
      </c>
      <c r="AD102" s="92">
        <v>222</v>
      </c>
      <c r="AE102" s="92">
        <v>-3</v>
      </c>
      <c r="AF102" s="79" t="s">
        <v>39</v>
      </c>
      <c r="AG102" s="6">
        <v>230.3</v>
      </c>
      <c r="AH102" s="6">
        <v>26.8</v>
      </c>
      <c r="AI102" s="87" t="s">
        <v>495</v>
      </c>
      <c r="AJ102" s="92">
        <v>217</v>
      </c>
      <c r="AK102" s="92">
        <v>28</v>
      </c>
      <c r="AL102" s="79" t="s">
        <v>39</v>
      </c>
      <c r="AM102" s="6">
        <v>254.8</v>
      </c>
      <c r="AN102" s="6">
        <v>52.2</v>
      </c>
      <c r="AO102" s="87" t="s">
        <v>496</v>
      </c>
      <c r="AP102" s="79">
        <v>132</v>
      </c>
      <c r="AQ102" s="79">
        <v>-33</v>
      </c>
      <c r="AR102" s="87" t="s">
        <v>105</v>
      </c>
      <c r="AS102" s="79" t="s">
        <v>87</v>
      </c>
      <c r="AT102" s="79" t="s">
        <v>88</v>
      </c>
      <c r="AU102" s="106"/>
      <c r="AV102" s="109"/>
      <c r="AW102" s="92"/>
      <c r="AX102">
        <v>84.5</v>
      </c>
      <c r="AY102">
        <v>353.1</v>
      </c>
      <c r="AZ102" s="7">
        <v>-49.2</v>
      </c>
      <c r="BA102" s="7"/>
      <c r="BB102" s="7"/>
      <c r="BC102" s="92"/>
    </row>
    <row r="103" spans="1:55">
      <c r="A103" t="s">
        <v>497</v>
      </c>
      <c r="B103" s="51">
        <v>68.430000000000007</v>
      </c>
      <c r="C103" t="s">
        <v>240</v>
      </c>
      <c r="D103" t="s">
        <v>347</v>
      </c>
      <c r="E103" s="74">
        <v>1.81</v>
      </c>
      <c r="F103" s="49">
        <v>24.3</v>
      </c>
      <c r="G103" t="s">
        <v>494</v>
      </c>
      <c r="I103" s="73">
        <v>83.7</v>
      </c>
      <c r="J103" s="73">
        <v>47</v>
      </c>
      <c r="K103" s="73"/>
      <c r="P103" s="2">
        <v>0.2</v>
      </c>
      <c r="Q103" s="4" t="s">
        <v>133</v>
      </c>
      <c r="R103">
        <v>118</v>
      </c>
      <c r="S103">
        <v>-50</v>
      </c>
      <c r="T103" s="101">
        <v>140.4</v>
      </c>
      <c r="U103" s="101">
        <v>-14.9</v>
      </c>
      <c r="V103" t="s">
        <v>498</v>
      </c>
      <c r="W103" s="2"/>
      <c r="AA103" s="6"/>
      <c r="AB103" s="6"/>
      <c r="AC103" s="54" t="s">
        <v>180</v>
      </c>
      <c r="AD103" s="53">
        <v>86</v>
      </c>
      <c r="AE103" s="53">
        <v>-49</v>
      </c>
      <c r="AF103" t="s">
        <v>40</v>
      </c>
      <c r="AG103" s="6">
        <v>124.7</v>
      </c>
      <c r="AH103" s="6">
        <v>-29.7</v>
      </c>
      <c r="AO103" s="2" t="s">
        <v>499</v>
      </c>
      <c r="AP103">
        <v>64</v>
      </c>
      <c r="AQ103">
        <v>20</v>
      </c>
      <c r="AR103" s="2" t="s">
        <v>159</v>
      </c>
      <c r="AS103" s="53" t="s">
        <v>87</v>
      </c>
      <c r="AT103" t="s">
        <v>67</v>
      </c>
      <c r="AU103" s="59"/>
      <c r="AV103" s="77"/>
      <c r="AW103" s="7"/>
      <c r="AX103">
        <v>86.5</v>
      </c>
      <c r="AY103">
        <v>1.6</v>
      </c>
      <c r="AZ103" s="7">
        <v>-51.8</v>
      </c>
      <c r="BA103" s="7"/>
      <c r="BB103" s="7"/>
      <c r="BC103" s="7"/>
    </row>
    <row r="104" spans="1:55" ht="15.75" thickBot="1">
      <c r="A104" t="s">
        <v>500</v>
      </c>
      <c r="B104" s="51">
        <v>68.430000000000007</v>
      </c>
      <c r="C104" t="s">
        <v>240</v>
      </c>
      <c r="D104" t="s">
        <v>333</v>
      </c>
      <c r="E104" s="74">
        <v>2.34</v>
      </c>
      <c r="F104" s="49">
        <v>24.8</v>
      </c>
      <c r="G104" t="s">
        <v>501</v>
      </c>
      <c r="I104" s="73">
        <v>83.7</v>
      </c>
      <c r="J104" s="73">
        <v>47</v>
      </c>
      <c r="K104" s="73" t="s">
        <v>85</v>
      </c>
      <c r="L104">
        <v>133</v>
      </c>
      <c r="M104">
        <v>-4</v>
      </c>
      <c r="N104" s="89">
        <v>124.8</v>
      </c>
      <c r="O104" s="89">
        <v>30.4</v>
      </c>
      <c r="P104" s="2">
        <v>1</v>
      </c>
      <c r="W104" s="2" t="s">
        <v>172</v>
      </c>
      <c r="X104">
        <v>213</v>
      </c>
      <c r="Y104">
        <v>-52</v>
      </c>
      <c r="AA104" s="6">
        <v>197.1</v>
      </c>
      <c r="AB104" s="6">
        <v>-10.9</v>
      </c>
      <c r="AC104" s="2" t="s">
        <v>336</v>
      </c>
      <c r="AD104" s="53">
        <v>172</v>
      </c>
      <c r="AE104" s="53">
        <v>-43</v>
      </c>
      <c r="AF104" t="s">
        <v>63</v>
      </c>
      <c r="AG104" s="6">
        <v>172.5</v>
      </c>
      <c r="AH104" s="6">
        <v>4</v>
      </c>
      <c r="AO104" s="2" t="s">
        <v>502</v>
      </c>
      <c r="AP104">
        <v>72</v>
      </c>
      <c r="AQ104">
        <v>-6</v>
      </c>
      <c r="AR104" s="2" t="s">
        <v>159</v>
      </c>
      <c r="AS104" s="53" t="s">
        <v>87</v>
      </c>
      <c r="AT104" t="s">
        <v>168</v>
      </c>
      <c r="AU104" s="130"/>
      <c r="AV104" s="131"/>
      <c r="AW104" s="7"/>
      <c r="AX104">
        <v>70.2</v>
      </c>
      <c r="AY104">
        <v>333.9</v>
      </c>
      <c r="AZ104" s="7">
        <v>-53.2</v>
      </c>
      <c r="BA104" s="7"/>
      <c r="BB104" s="7"/>
      <c r="BC104" s="7"/>
    </row>
    <row r="105" spans="1:55">
      <c r="A105" t="s">
        <v>503</v>
      </c>
      <c r="B105" s="51">
        <v>69.73</v>
      </c>
      <c r="C105" t="str">
        <f>'[1]BQ ms'!G186</f>
        <v>pale grey</v>
      </c>
      <c r="D105" t="s">
        <v>174</v>
      </c>
      <c r="E105" s="78">
        <v>0.13919999999999999</v>
      </c>
      <c r="F105" s="49">
        <v>41.7</v>
      </c>
      <c r="G105" t="s">
        <v>504</v>
      </c>
      <c r="I105" s="73">
        <v>52.7</v>
      </c>
      <c r="J105" s="73">
        <v>50</v>
      </c>
      <c r="K105" s="73" t="s">
        <v>76</v>
      </c>
      <c r="L105">
        <v>135</v>
      </c>
      <c r="M105">
        <v>58</v>
      </c>
      <c r="N105" s="3">
        <v>335.5</v>
      </c>
      <c r="O105" s="3">
        <v>71.3</v>
      </c>
      <c r="V105" t="s">
        <v>505</v>
      </c>
      <c r="W105" s="2"/>
      <c r="AA105" s="6"/>
      <c r="AB105" s="6"/>
      <c r="AD105" s="53"/>
      <c r="AE105" s="53"/>
      <c r="AO105" s="2" t="s">
        <v>231</v>
      </c>
      <c r="AP105">
        <v>285</v>
      </c>
      <c r="AQ105">
        <v>18</v>
      </c>
      <c r="AR105" s="2" t="s">
        <v>105</v>
      </c>
      <c r="AS105" s="53" t="s">
        <v>87</v>
      </c>
      <c r="AT105" t="s">
        <v>88</v>
      </c>
      <c r="AU105" s="132"/>
      <c r="AV105" s="133"/>
      <c r="AW105" s="7"/>
      <c r="AX105">
        <v>84.1</v>
      </c>
      <c r="AY105">
        <v>351.1</v>
      </c>
      <c r="AZ105" s="7">
        <v>-51.2</v>
      </c>
      <c r="BA105" s="7"/>
      <c r="BB105" s="7"/>
      <c r="BC105" s="7"/>
    </row>
    <row r="106" spans="1:55">
      <c r="A106" t="s">
        <v>506</v>
      </c>
      <c r="B106" s="51">
        <v>70.180000000000007</v>
      </c>
      <c r="C106" t="str">
        <f>'[1]BQ ms'!G188</f>
        <v>grey</v>
      </c>
      <c r="D106" t="s">
        <v>174</v>
      </c>
      <c r="E106" s="78">
        <v>0.42880000000000001</v>
      </c>
      <c r="F106" s="49">
        <v>43.3</v>
      </c>
      <c r="G106" t="s">
        <v>507</v>
      </c>
      <c r="I106" s="73">
        <v>52.7</v>
      </c>
      <c r="J106" s="73">
        <v>50</v>
      </c>
      <c r="K106" s="73" t="s">
        <v>85</v>
      </c>
      <c r="L106">
        <v>155</v>
      </c>
      <c r="M106">
        <v>12</v>
      </c>
      <c r="N106" s="89">
        <v>167.3</v>
      </c>
      <c r="O106" s="89">
        <v>60</v>
      </c>
      <c r="P106" s="2">
        <v>1.7</v>
      </c>
      <c r="Q106" t="s">
        <v>211</v>
      </c>
      <c r="R106">
        <v>14</v>
      </c>
      <c r="S106">
        <v>-65</v>
      </c>
      <c r="T106" s="101">
        <v>110.5</v>
      </c>
      <c r="U106" s="101">
        <v>-51.7</v>
      </c>
      <c r="V106" t="s">
        <v>508</v>
      </c>
      <c r="W106" s="2" t="s">
        <v>128</v>
      </c>
      <c r="X106">
        <v>214</v>
      </c>
      <c r="Y106">
        <v>-58</v>
      </c>
      <c r="AA106" s="73">
        <v>176.2</v>
      </c>
      <c r="AB106" s="73">
        <v>-24.5</v>
      </c>
      <c r="AD106" s="53"/>
      <c r="AE106" s="53"/>
      <c r="AO106" s="2" t="s">
        <v>285</v>
      </c>
      <c r="AP106">
        <v>165</v>
      </c>
      <c r="AQ106">
        <v>-22</v>
      </c>
      <c r="AR106" s="2" t="s">
        <v>469</v>
      </c>
      <c r="AS106" s="53"/>
      <c r="AT106" t="s">
        <v>168</v>
      </c>
      <c r="AU106" s="132"/>
      <c r="AV106" s="132"/>
      <c r="AW106" s="53">
        <v>72</v>
      </c>
      <c r="AX106" s="51"/>
      <c r="AY106" s="66"/>
      <c r="AZ106" s="66"/>
      <c r="BA106" s="66"/>
      <c r="BB106" s="66"/>
      <c r="BC106" s="7"/>
    </row>
    <row r="107" spans="1:55">
      <c r="A107" t="s">
        <v>510</v>
      </c>
      <c r="B107" s="51">
        <v>70.7</v>
      </c>
      <c r="C107" t="str">
        <f>'[1]BQ ms'!G190</f>
        <v>grey</v>
      </c>
      <c r="D107" t="s">
        <v>174</v>
      </c>
      <c r="E107" s="78">
        <v>0.18229999999999999</v>
      </c>
      <c r="F107" s="49">
        <v>31.3</v>
      </c>
      <c r="G107" t="s">
        <v>511</v>
      </c>
      <c r="I107" s="73">
        <v>67.7</v>
      </c>
      <c r="J107" s="73">
        <v>32</v>
      </c>
      <c r="K107" s="73" t="s">
        <v>133</v>
      </c>
      <c r="L107">
        <v>152</v>
      </c>
      <c r="M107">
        <v>47</v>
      </c>
      <c r="N107" s="3">
        <v>137.9</v>
      </c>
      <c r="O107" s="3">
        <v>78.5</v>
      </c>
      <c r="P107" s="2">
        <v>2</v>
      </c>
      <c r="Q107" s="63" t="s">
        <v>512</v>
      </c>
      <c r="R107">
        <v>56</v>
      </c>
      <c r="S107">
        <v>-23</v>
      </c>
      <c r="T107" s="5">
        <v>70.8</v>
      </c>
      <c r="U107" s="5">
        <v>-25.5</v>
      </c>
      <c r="V107" t="s">
        <v>127</v>
      </c>
      <c r="W107" s="2" t="s">
        <v>194</v>
      </c>
      <c r="X107">
        <v>241</v>
      </c>
      <c r="Y107">
        <v>-47</v>
      </c>
      <c r="AA107" s="73">
        <v>213.8</v>
      </c>
      <c r="AB107" s="73">
        <v>-35.299999999999997</v>
      </c>
      <c r="AD107" s="53"/>
      <c r="AE107" s="53"/>
      <c r="AO107" s="2" t="s">
        <v>76</v>
      </c>
      <c r="AP107">
        <v>143</v>
      </c>
      <c r="AQ107">
        <v>-43</v>
      </c>
      <c r="AR107" s="2" t="s">
        <v>65</v>
      </c>
      <c r="AS107" s="53" t="s">
        <v>87</v>
      </c>
      <c r="AT107" t="s">
        <v>168</v>
      </c>
      <c r="AU107" s="132"/>
      <c r="AV107" s="132"/>
      <c r="AW107" s="7"/>
      <c r="AX107">
        <v>79.7</v>
      </c>
      <c r="AY107">
        <v>351.4</v>
      </c>
      <c r="AZ107" s="7">
        <v>-43.3</v>
      </c>
      <c r="BA107" s="7"/>
      <c r="BB107" s="7"/>
      <c r="BC107" s="7"/>
    </row>
    <row r="108" spans="1:55">
      <c r="A108" t="s">
        <v>513</v>
      </c>
      <c r="B108" s="51">
        <v>72.599999999999994</v>
      </c>
      <c r="C108" t="str">
        <f>'[1]BQ ms'!G192</f>
        <v>pale grey</v>
      </c>
      <c r="D108" t="s">
        <v>174</v>
      </c>
      <c r="E108" s="78">
        <v>0.111</v>
      </c>
      <c r="F108" s="49">
        <v>33.700000000000003</v>
      </c>
      <c r="G108" t="s">
        <v>514</v>
      </c>
      <c r="I108" s="73">
        <v>70.7</v>
      </c>
      <c r="J108" s="73">
        <v>73</v>
      </c>
      <c r="K108" s="2" t="s">
        <v>133</v>
      </c>
      <c r="L108">
        <v>186</v>
      </c>
      <c r="M108">
        <v>26</v>
      </c>
      <c r="N108" s="79">
        <v>276</v>
      </c>
      <c r="O108" s="79">
        <v>64.900000000000006</v>
      </c>
      <c r="P108" s="2">
        <v>1.7</v>
      </c>
      <c r="Q108" s="63" t="s">
        <v>130</v>
      </c>
      <c r="R108">
        <v>47</v>
      </c>
      <c r="S108">
        <v>-45</v>
      </c>
      <c r="T108" s="105">
        <v>113.2</v>
      </c>
      <c r="U108" s="105">
        <v>-28.6</v>
      </c>
      <c r="W108" s="2" t="s">
        <v>143</v>
      </c>
      <c r="X108">
        <v>270</v>
      </c>
      <c r="Y108">
        <v>-61</v>
      </c>
      <c r="AA108" s="6">
        <v>190.8</v>
      </c>
      <c r="AB108" s="6">
        <v>-24.1</v>
      </c>
      <c r="AD108" s="53"/>
      <c r="AE108" s="53"/>
      <c r="AO108" s="2"/>
      <c r="AR108" s="2" t="s">
        <v>469</v>
      </c>
      <c r="AS108" s="53"/>
      <c r="AT108" t="s">
        <v>168</v>
      </c>
      <c r="AU108" s="132"/>
      <c r="AV108" s="132"/>
      <c r="AW108" s="7">
        <v>47.2</v>
      </c>
      <c r="AX108" s="51"/>
      <c r="AY108" s="66"/>
      <c r="AZ108" s="66"/>
      <c r="BA108" s="66"/>
      <c r="BB108" s="66"/>
      <c r="BC108" s="7"/>
    </row>
    <row r="109" spans="1:55">
      <c r="E109" s="57"/>
      <c r="F109" s="49"/>
      <c r="K109" s="2"/>
      <c r="W109" s="2"/>
      <c r="AD109" s="116"/>
      <c r="AO109" s="2"/>
      <c r="AW109" s="7"/>
      <c r="AX109" s="7"/>
      <c r="AY109" s="7"/>
      <c r="AZ109" s="7"/>
      <c r="BA109" s="7"/>
      <c r="BB109" s="7"/>
      <c r="BC109" s="7"/>
    </row>
    <row r="110" spans="1:55">
      <c r="E110" s="57"/>
      <c r="F110" s="49"/>
      <c r="K110" s="2"/>
      <c r="W110" s="75"/>
      <c r="X110" s="76"/>
      <c r="Y110" s="76"/>
      <c r="Z110" s="76"/>
      <c r="AA110" s="134"/>
      <c r="AB110" s="134"/>
      <c r="AC110" s="75"/>
      <c r="AF110" t="s">
        <v>516</v>
      </c>
      <c r="AO110" s="2"/>
      <c r="AW110" s="7"/>
      <c r="AX110" s="7"/>
      <c r="AY110" s="7"/>
      <c r="AZ110" s="7"/>
      <c r="BA110" s="7"/>
      <c r="BB110" s="7"/>
    </row>
    <row r="111" spans="1:55">
      <c r="E111" s="57"/>
      <c r="F111" s="49"/>
      <c r="K111" s="2"/>
      <c r="W111" s="2"/>
      <c r="AF111" t="s">
        <v>517</v>
      </c>
      <c r="AO111" s="2"/>
      <c r="AW111" s="7"/>
      <c r="AX111" s="7"/>
      <c r="AY111" s="7"/>
      <c r="AZ111" s="7"/>
      <c r="BA111" s="7"/>
      <c r="BB111" s="7"/>
    </row>
    <row r="112" spans="1:55">
      <c r="E112" s="57"/>
      <c r="F112" s="49"/>
      <c r="K112" s="2"/>
      <c r="W112" s="2"/>
      <c r="AF112" t="s">
        <v>518</v>
      </c>
      <c r="AO112" s="2"/>
      <c r="AW112" s="7"/>
      <c r="AX112" s="7"/>
      <c r="AY112" s="7"/>
      <c r="AZ112" s="7"/>
      <c r="BA112" s="7"/>
      <c r="BB112" s="7"/>
    </row>
    <row r="113" spans="1:55">
      <c r="E113" s="57"/>
      <c r="F113" s="49"/>
      <c r="K113" s="2"/>
      <c r="W113" s="2"/>
      <c r="AF113" t="s">
        <v>519</v>
      </c>
      <c r="AO113" s="2"/>
      <c r="AW113" s="7"/>
      <c r="AX113" s="7"/>
      <c r="AY113" s="7"/>
      <c r="AZ113" s="7"/>
      <c r="BA113" s="7"/>
      <c r="BB113" s="7"/>
    </row>
    <row r="114" spans="1:55">
      <c r="E114" s="57"/>
      <c r="F114" s="49"/>
      <c r="K114" s="2"/>
      <c r="W114" s="2"/>
      <c r="AO114" s="2"/>
      <c r="AW114" s="7"/>
      <c r="AX114" s="7"/>
      <c r="AY114" s="7"/>
      <c r="AZ114" s="7"/>
      <c r="BA114" s="7"/>
      <c r="BB114" s="7"/>
      <c r="BC114" s="135"/>
    </row>
    <row r="115" spans="1:55">
      <c r="E115" s="57"/>
      <c r="F115" s="49"/>
      <c r="K115" s="2"/>
      <c r="W115" s="2"/>
      <c r="AO115" s="2"/>
      <c r="AW115" s="7"/>
      <c r="AX115" s="7"/>
      <c r="AY115" s="7"/>
      <c r="AZ115" s="7"/>
      <c r="BA115" s="7"/>
      <c r="BB115" s="7"/>
      <c r="BC115" s="136"/>
    </row>
    <row r="116" spans="1:55" ht="15.75" thickBot="1">
      <c r="E116" s="2"/>
      <c r="F116" s="138"/>
      <c r="K116" s="2"/>
      <c r="W116" s="2"/>
      <c r="AO116" s="2"/>
      <c r="AW116" s="7"/>
      <c r="AX116" s="7"/>
      <c r="AY116" s="7"/>
      <c r="AZ116" s="7"/>
      <c r="BA116" s="7"/>
      <c r="BB116" s="7"/>
      <c r="BC116" s="45"/>
    </row>
    <row r="117" spans="1:55">
      <c r="A117" t="s">
        <v>520</v>
      </c>
      <c r="B117">
        <v>31.4</v>
      </c>
      <c r="D117" t="s">
        <v>420</v>
      </c>
      <c r="E117" s="78">
        <v>1.2</v>
      </c>
      <c r="F117" s="138">
        <v>27.9</v>
      </c>
      <c r="G117" s="58" t="s">
        <v>521</v>
      </c>
      <c r="I117">
        <v>50.2</v>
      </c>
      <c r="J117">
        <v>20</v>
      </c>
      <c r="P117" s="2">
        <v>1</v>
      </c>
      <c r="Q117" t="s">
        <v>522</v>
      </c>
      <c r="R117">
        <v>17</v>
      </c>
      <c r="S117">
        <v>-44</v>
      </c>
      <c r="T117" s="5">
        <v>37.799999999999997</v>
      </c>
      <c r="U117" s="5">
        <v>-52</v>
      </c>
      <c r="V117" t="s">
        <v>523</v>
      </c>
      <c r="AC117" s="139" t="s">
        <v>524</v>
      </c>
      <c r="AD117">
        <v>123</v>
      </c>
      <c r="AE117">
        <v>-30</v>
      </c>
      <c r="AF117" s="140" t="s">
        <v>525</v>
      </c>
      <c r="AG117">
        <v>125.1</v>
      </c>
      <c r="AH117">
        <v>-10.8</v>
      </c>
      <c r="AI117" s="2" t="s">
        <v>526</v>
      </c>
      <c r="AJ117">
        <v>137</v>
      </c>
      <c r="AK117">
        <v>-55</v>
      </c>
      <c r="AL117" s="140" t="s">
        <v>525</v>
      </c>
      <c r="AM117">
        <v>138</v>
      </c>
      <c r="AN117">
        <v>-35</v>
      </c>
      <c r="AO117" s="2"/>
      <c r="AR117" s="2" t="s">
        <v>113</v>
      </c>
      <c r="AT117" t="s">
        <v>88</v>
      </c>
      <c r="AU117" s="55"/>
      <c r="AV117" s="56"/>
      <c r="AW117">
        <v>84.5</v>
      </c>
      <c r="BC117" s="53"/>
    </row>
    <row r="118" spans="1:55">
      <c r="A118" t="s">
        <v>527</v>
      </c>
      <c r="B118">
        <v>31.4</v>
      </c>
      <c r="D118">
        <v>410</v>
      </c>
      <c r="E118" s="141">
        <v>1.2390000000000001</v>
      </c>
      <c r="F118" s="138">
        <v>27.8</v>
      </c>
      <c r="G118" s="58" t="s">
        <v>528</v>
      </c>
      <c r="I118">
        <v>50.2</v>
      </c>
      <c r="J118">
        <v>20</v>
      </c>
      <c r="K118" t="s">
        <v>473</v>
      </c>
      <c r="L118">
        <v>28</v>
      </c>
      <c r="M118">
        <v>35</v>
      </c>
      <c r="N118" s="3">
        <v>17.5</v>
      </c>
      <c r="O118" s="3">
        <v>25.7</v>
      </c>
      <c r="V118" t="s">
        <v>529</v>
      </c>
      <c r="AC118" s="139"/>
      <c r="AF118" s="140"/>
      <c r="AG118"/>
      <c r="AH118"/>
      <c r="AL118" s="140"/>
      <c r="AO118" s="2"/>
      <c r="AR118" s="2" t="s">
        <v>299</v>
      </c>
      <c r="AT118" t="s">
        <v>181</v>
      </c>
      <c r="AU118" s="59"/>
      <c r="AV118" s="60"/>
      <c r="BC118" s="53"/>
    </row>
    <row r="119" spans="1:55">
      <c r="A119" t="s">
        <v>530</v>
      </c>
      <c r="B119">
        <v>32.28</v>
      </c>
      <c r="D119" t="s">
        <v>531</v>
      </c>
      <c r="E119">
        <v>3.339</v>
      </c>
      <c r="F119">
        <v>33.200000000000003</v>
      </c>
      <c r="G119" s="58" t="s">
        <v>532</v>
      </c>
      <c r="I119">
        <v>50.2</v>
      </c>
      <c r="J119">
        <v>20</v>
      </c>
      <c r="P119" s="2">
        <v>1</v>
      </c>
      <c r="Q119" s="63" t="s">
        <v>244</v>
      </c>
      <c r="R119">
        <v>192</v>
      </c>
      <c r="S119">
        <v>16</v>
      </c>
      <c r="T119" s="5">
        <v>198.6</v>
      </c>
      <c r="U119" s="5">
        <v>27.5</v>
      </c>
      <c r="V119" t="s">
        <v>533</v>
      </c>
      <c r="W119" s="139" t="s">
        <v>133</v>
      </c>
      <c r="X119" s="53">
        <v>206</v>
      </c>
      <c r="Y119" s="53">
        <v>-1</v>
      </c>
      <c r="Z119" s="53" t="s">
        <v>63</v>
      </c>
      <c r="AA119" s="3">
        <v>207</v>
      </c>
      <c r="AB119" s="3">
        <v>7.1</v>
      </c>
      <c r="AC119" s="139" t="s">
        <v>243</v>
      </c>
      <c r="AD119">
        <v>331</v>
      </c>
      <c r="AE119">
        <v>26</v>
      </c>
      <c r="AF119" s="61" t="s">
        <v>534</v>
      </c>
      <c r="AG119">
        <v>330</v>
      </c>
      <c r="AH119">
        <v>6.3</v>
      </c>
      <c r="AO119" s="2" t="s">
        <v>318</v>
      </c>
      <c r="AP119">
        <v>295</v>
      </c>
      <c r="AQ119">
        <v>11</v>
      </c>
      <c r="AR119" s="2" t="s">
        <v>113</v>
      </c>
      <c r="AS119" t="s">
        <v>87</v>
      </c>
      <c r="AT119" t="s">
        <v>114</v>
      </c>
      <c r="AU119" s="64"/>
      <c r="AV119" s="80"/>
      <c r="AW119">
        <v>-74.5</v>
      </c>
      <c r="BC119" s="53"/>
    </row>
    <row r="120" spans="1:55">
      <c r="A120" t="s">
        <v>535</v>
      </c>
      <c r="B120">
        <v>33.33</v>
      </c>
      <c r="D120" t="s">
        <v>531</v>
      </c>
      <c r="E120">
        <v>2.1280000000000001</v>
      </c>
      <c r="F120">
        <v>23.8</v>
      </c>
      <c r="G120" t="s">
        <v>536</v>
      </c>
      <c r="I120">
        <v>50.2</v>
      </c>
      <c r="J120">
        <v>20</v>
      </c>
      <c r="K120" s="139" t="s">
        <v>59</v>
      </c>
      <c r="L120">
        <v>196</v>
      </c>
      <c r="M120">
        <v>69</v>
      </c>
      <c r="N120">
        <v>253.9</v>
      </c>
      <c r="O120">
        <v>71.099999999999994</v>
      </c>
      <c r="P120" s="2">
        <v>2</v>
      </c>
      <c r="Q120" t="s">
        <v>122</v>
      </c>
      <c r="R120">
        <v>225</v>
      </c>
      <c r="S120">
        <v>48</v>
      </c>
      <c r="T120" s="5">
        <v>246.7</v>
      </c>
      <c r="U120" s="5">
        <v>46</v>
      </c>
      <c r="V120" t="s">
        <v>308</v>
      </c>
      <c r="W120" s="2"/>
      <c r="AI120" s="54" t="s">
        <v>222</v>
      </c>
      <c r="AJ120" s="2">
        <v>122</v>
      </c>
      <c r="AK120">
        <v>12</v>
      </c>
      <c r="AL120" s="140" t="s">
        <v>525</v>
      </c>
      <c r="AM120">
        <v>119.3</v>
      </c>
      <c r="AN120">
        <v>30.9</v>
      </c>
      <c r="AO120" s="2" t="s">
        <v>340</v>
      </c>
      <c r="AP120">
        <v>168</v>
      </c>
      <c r="AQ120">
        <v>-25</v>
      </c>
      <c r="AR120" s="2" t="s">
        <v>113</v>
      </c>
      <c r="AS120" t="s">
        <v>87</v>
      </c>
      <c r="AT120" t="s">
        <v>123</v>
      </c>
      <c r="AU120" s="64"/>
      <c r="AV120" s="80"/>
      <c r="AW120">
        <v>-66.599999999999994</v>
      </c>
      <c r="BC120" s="53"/>
    </row>
    <row r="121" spans="1:55">
      <c r="A121" t="s">
        <v>537</v>
      </c>
      <c r="B121">
        <v>33.33</v>
      </c>
      <c r="D121" t="s">
        <v>446</v>
      </c>
      <c r="E121">
        <v>1.86</v>
      </c>
      <c r="F121">
        <v>37.1</v>
      </c>
      <c r="G121" t="s">
        <v>538</v>
      </c>
      <c r="I121">
        <v>50.2</v>
      </c>
      <c r="J121">
        <v>20</v>
      </c>
      <c r="P121" s="2">
        <v>1.2</v>
      </c>
      <c r="Q121" t="s">
        <v>539</v>
      </c>
      <c r="R121">
        <v>203</v>
      </c>
      <c r="S121">
        <v>37</v>
      </c>
      <c r="T121" s="5">
        <v>219.3</v>
      </c>
      <c r="U121" s="5">
        <v>43.7</v>
      </c>
      <c r="V121" t="s">
        <v>540</v>
      </c>
      <c r="W121" s="2"/>
      <c r="AC121" s="139" t="s">
        <v>85</v>
      </c>
      <c r="AD121">
        <v>134</v>
      </c>
      <c r="AE121">
        <v>-1</v>
      </c>
      <c r="AF121" s="140" t="s">
        <v>525</v>
      </c>
      <c r="AG121">
        <v>133.6</v>
      </c>
      <c r="AH121">
        <v>18.899999999999999</v>
      </c>
      <c r="AO121" s="54" t="s">
        <v>371</v>
      </c>
      <c r="AP121">
        <v>106</v>
      </c>
      <c r="AQ121">
        <v>-21</v>
      </c>
      <c r="AR121" s="2" t="s">
        <v>167</v>
      </c>
      <c r="AS121" t="s">
        <v>66</v>
      </c>
      <c r="AT121" t="s">
        <v>114</v>
      </c>
      <c r="AU121" s="64"/>
      <c r="AV121" s="80"/>
      <c r="AW121">
        <v>-87.6</v>
      </c>
      <c r="BC121" s="53"/>
    </row>
    <row r="122" spans="1:55">
      <c r="A122" t="s">
        <v>541</v>
      </c>
      <c r="B122">
        <v>34.86</v>
      </c>
      <c r="D122" t="s">
        <v>446</v>
      </c>
      <c r="E122">
        <v>2.0499999999999998</v>
      </c>
      <c r="F122">
        <v>32.799999999999997</v>
      </c>
      <c r="G122" t="s">
        <v>542</v>
      </c>
      <c r="I122">
        <v>47.7</v>
      </c>
      <c r="J122">
        <v>20</v>
      </c>
      <c r="K122" s="2" t="s">
        <v>543</v>
      </c>
      <c r="L122">
        <v>230</v>
      </c>
      <c r="M122">
        <v>56</v>
      </c>
      <c r="N122">
        <v>256.3</v>
      </c>
      <c r="O122">
        <v>50.5</v>
      </c>
      <c r="P122" s="2">
        <v>2.5</v>
      </c>
      <c r="V122" t="s">
        <v>544</v>
      </c>
      <c r="W122" s="139" t="s">
        <v>85</v>
      </c>
      <c r="X122">
        <v>234</v>
      </c>
      <c r="Y122">
        <v>-6</v>
      </c>
      <c r="Z122" t="s">
        <v>63</v>
      </c>
      <c r="AA122" s="3">
        <v>231.6</v>
      </c>
      <c r="AB122" s="3">
        <v>-7.8</v>
      </c>
      <c r="AO122" s="54" t="s">
        <v>313</v>
      </c>
      <c r="AP122">
        <v>214</v>
      </c>
      <c r="AQ122">
        <v>-34</v>
      </c>
      <c r="AR122" s="2" t="s">
        <v>65</v>
      </c>
      <c r="AS122" t="s">
        <v>66</v>
      </c>
      <c r="AT122" t="s">
        <v>67</v>
      </c>
      <c r="AU122" s="59"/>
      <c r="AV122" s="69"/>
      <c r="AX122">
        <v>75.400000000000006</v>
      </c>
      <c r="AY122" s="7">
        <v>14.8</v>
      </c>
      <c r="AZ122" s="7">
        <v>-54.5</v>
      </c>
      <c r="BA122">
        <v>45.6</v>
      </c>
      <c r="BB122">
        <v>-60.8</v>
      </c>
      <c r="BC122" s="53"/>
    </row>
    <row r="123" spans="1:55">
      <c r="A123" t="s">
        <v>545</v>
      </c>
      <c r="B123">
        <v>35.299999999999997</v>
      </c>
      <c r="D123" t="s">
        <v>546</v>
      </c>
      <c r="E123">
        <v>2.085</v>
      </c>
      <c r="F123">
        <v>26</v>
      </c>
      <c r="G123" t="s">
        <v>547</v>
      </c>
      <c r="I123">
        <v>52.7</v>
      </c>
      <c r="J123">
        <v>20</v>
      </c>
      <c r="K123" s="139" t="s">
        <v>92</v>
      </c>
      <c r="L123">
        <v>161</v>
      </c>
      <c r="M123">
        <v>77</v>
      </c>
      <c r="N123">
        <v>294.60000000000002</v>
      </c>
      <c r="O123">
        <v>81.400000000000006</v>
      </c>
      <c r="P123" s="2">
        <v>0.7</v>
      </c>
      <c r="V123" t="s">
        <v>548</v>
      </c>
      <c r="W123" s="2"/>
      <c r="AC123" s="54" t="s">
        <v>244</v>
      </c>
      <c r="AD123">
        <v>97</v>
      </c>
      <c r="AE123">
        <v>-24</v>
      </c>
      <c r="AF123" t="s">
        <v>549</v>
      </c>
      <c r="AG123">
        <v>101.2</v>
      </c>
      <c r="AH123">
        <v>-9.4</v>
      </c>
      <c r="AI123" s="2" t="s">
        <v>370</v>
      </c>
      <c r="AJ123">
        <v>195</v>
      </c>
      <c r="AK123">
        <v>53</v>
      </c>
      <c r="AL123" t="s">
        <v>550</v>
      </c>
      <c r="AM123">
        <v>224</v>
      </c>
      <c r="AN123">
        <v>61.2</v>
      </c>
      <c r="AO123" s="54" t="s">
        <v>104</v>
      </c>
      <c r="AP123">
        <v>35</v>
      </c>
      <c r="AQ123">
        <v>37</v>
      </c>
      <c r="AR123" s="2" t="s">
        <v>159</v>
      </c>
      <c r="AS123" t="s">
        <v>66</v>
      </c>
      <c r="AT123" t="s">
        <v>67</v>
      </c>
      <c r="AU123" s="59"/>
      <c r="AV123" s="69"/>
      <c r="AX123">
        <v>78.400000000000006</v>
      </c>
      <c r="AY123" s="7">
        <v>16.100000000000001</v>
      </c>
      <c r="AZ123" s="7">
        <v>-51.5</v>
      </c>
      <c r="BA123" s="7">
        <v>43.5</v>
      </c>
      <c r="BB123" s="7">
        <v>-59.6</v>
      </c>
      <c r="BC123" s="53"/>
    </row>
    <row r="124" spans="1:55">
      <c r="A124" t="s">
        <v>551</v>
      </c>
      <c r="B124">
        <v>35.299999999999997</v>
      </c>
      <c r="D124" t="s">
        <v>446</v>
      </c>
      <c r="E124">
        <v>1.99</v>
      </c>
      <c r="F124">
        <v>37</v>
      </c>
      <c r="G124" t="s">
        <v>552</v>
      </c>
      <c r="I124">
        <v>52.7</v>
      </c>
      <c r="J124">
        <v>20</v>
      </c>
      <c r="K124" s="2"/>
      <c r="P124" s="2">
        <v>0.9</v>
      </c>
      <c r="Q124" s="63" t="s">
        <v>553</v>
      </c>
      <c r="R124" s="7">
        <v>53</v>
      </c>
      <c r="S124" s="7">
        <v>-32</v>
      </c>
      <c r="T124" s="5">
        <v>65</v>
      </c>
      <c r="U124" s="5">
        <v>-29.8</v>
      </c>
      <c r="V124" t="s">
        <v>554</v>
      </c>
      <c r="AC124" s="139" t="s">
        <v>85</v>
      </c>
      <c r="AD124">
        <v>328</v>
      </c>
      <c r="AE124">
        <v>4</v>
      </c>
      <c r="AF124" s="61" t="s">
        <v>534</v>
      </c>
      <c r="AG124">
        <v>328.2</v>
      </c>
      <c r="AH124">
        <v>-15.9</v>
      </c>
      <c r="AI124" s="2" t="s">
        <v>555</v>
      </c>
      <c r="AJ124">
        <v>337</v>
      </c>
      <c r="AK124">
        <v>40</v>
      </c>
      <c r="AL124" s="61" t="s">
        <v>534</v>
      </c>
      <c r="AM124">
        <v>334.4</v>
      </c>
      <c r="AN124">
        <v>20.5</v>
      </c>
      <c r="AO124" s="54" t="s">
        <v>414</v>
      </c>
      <c r="AP124">
        <v>325</v>
      </c>
      <c r="AQ124">
        <v>5</v>
      </c>
      <c r="AR124" s="2" t="s">
        <v>113</v>
      </c>
      <c r="AS124" s="7" t="s">
        <v>106</v>
      </c>
      <c r="AT124" t="s">
        <v>556</v>
      </c>
      <c r="AU124" s="59"/>
      <c r="AV124" s="69"/>
      <c r="AW124">
        <v>59.2</v>
      </c>
      <c r="BA124" t="s">
        <v>69</v>
      </c>
      <c r="BC124" s="53"/>
    </row>
    <row r="125" spans="1:55">
      <c r="A125" t="s">
        <v>557</v>
      </c>
      <c r="B125">
        <v>36.200000000000003</v>
      </c>
      <c r="D125" t="s">
        <v>558</v>
      </c>
      <c r="E125">
        <v>2.2000000000000002</v>
      </c>
      <c r="F125">
        <v>29.3</v>
      </c>
      <c r="G125" s="58" t="s">
        <v>559</v>
      </c>
      <c r="I125">
        <v>36.700000000000003</v>
      </c>
      <c r="J125">
        <v>10</v>
      </c>
      <c r="K125" s="142" t="s">
        <v>85</v>
      </c>
      <c r="L125">
        <v>178</v>
      </c>
      <c r="M125">
        <v>86</v>
      </c>
      <c r="N125">
        <v>284</v>
      </c>
      <c r="O125">
        <v>81.900000000000006</v>
      </c>
      <c r="P125" s="2">
        <v>1.2</v>
      </c>
      <c r="Q125" s="2" t="s">
        <v>560</v>
      </c>
      <c r="R125">
        <v>164</v>
      </c>
      <c r="S125">
        <v>-12</v>
      </c>
      <c r="T125" s="5">
        <v>163.19999999999999</v>
      </c>
      <c r="U125" s="5">
        <v>-4</v>
      </c>
      <c r="V125" t="s">
        <v>289</v>
      </c>
      <c r="AO125" s="54" t="s">
        <v>414</v>
      </c>
      <c r="AP125">
        <v>81</v>
      </c>
      <c r="AQ125">
        <v>30</v>
      </c>
      <c r="AR125" s="2" t="s">
        <v>159</v>
      </c>
      <c r="AS125" t="s">
        <v>66</v>
      </c>
      <c r="AT125" t="s">
        <v>123</v>
      </c>
      <c r="AU125" s="64"/>
      <c r="AV125" s="100"/>
      <c r="AX125">
        <v>-88.3</v>
      </c>
      <c r="AY125">
        <f>18.9+180</f>
        <v>198.9</v>
      </c>
      <c r="AZ125">
        <v>39</v>
      </c>
      <c r="BA125" s="7">
        <v>207.1</v>
      </c>
      <c r="BB125" s="7">
        <v>41.4</v>
      </c>
      <c r="BC125" s="53"/>
    </row>
    <row r="126" spans="1:55">
      <c r="A126" t="s">
        <v>561</v>
      </c>
      <c r="B126">
        <v>36.200000000000003</v>
      </c>
      <c r="D126">
        <v>440</v>
      </c>
      <c r="E126">
        <v>2.6459999999999999</v>
      </c>
      <c r="F126">
        <v>22.9</v>
      </c>
      <c r="G126" s="58" t="s">
        <v>562</v>
      </c>
      <c r="I126">
        <v>36.700000000000003</v>
      </c>
      <c r="J126">
        <v>10</v>
      </c>
      <c r="K126" s="142"/>
      <c r="N126"/>
      <c r="O126"/>
      <c r="P126" s="2">
        <v>1</v>
      </c>
      <c r="Q126" s="53" t="s">
        <v>312</v>
      </c>
      <c r="R126">
        <v>215</v>
      </c>
      <c r="S126">
        <v>49</v>
      </c>
      <c r="T126" s="3">
        <v>226.4</v>
      </c>
      <c r="U126" s="3">
        <v>48.3</v>
      </c>
      <c r="V126" t="s">
        <v>563</v>
      </c>
      <c r="AO126" s="54" t="s">
        <v>473</v>
      </c>
      <c r="AP126">
        <v>317</v>
      </c>
      <c r="AQ126">
        <v>11</v>
      </c>
      <c r="AR126" s="2" t="s">
        <v>113</v>
      </c>
      <c r="AS126" t="s">
        <v>87</v>
      </c>
      <c r="AT126" t="s">
        <v>123</v>
      </c>
      <c r="AU126" s="64"/>
      <c r="AV126" s="100"/>
      <c r="AW126">
        <v>-74.400000000000006</v>
      </c>
      <c r="BA126" t="s">
        <v>69</v>
      </c>
      <c r="BC126" s="53"/>
    </row>
    <row r="127" spans="1:55">
      <c r="A127" t="s">
        <v>564</v>
      </c>
      <c r="B127">
        <v>37.700000000000003</v>
      </c>
      <c r="D127">
        <v>530</v>
      </c>
      <c r="E127">
        <v>2.306</v>
      </c>
      <c r="F127">
        <v>24.8</v>
      </c>
      <c r="G127" s="58" t="s">
        <v>565</v>
      </c>
      <c r="I127">
        <v>50.2</v>
      </c>
      <c r="J127">
        <v>20</v>
      </c>
      <c r="K127" s="142" t="s">
        <v>318</v>
      </c>
      <c r="L127">
        <v>13</v>
      </c>
      <c r="M127">
        <v>66</v>
      </c>
      <c r="N127">
        <v>351</v>
      </c>
      <c r="O127">
        <v>50.7</v>
      </c>
      <c r="P127" s="2">
        <v>2.5</v>
      </c>
      <c r="Q127" s="73"/>
      <c r="V127" t="s">
        <v>121</v>
      </c>
      <c r="AC127" s="2" t="s">
        <v>566</v>
      </c>
      <c r="AD127">
        <v>24</v>
      </c>
      <c r="AE127">
        <v>-21</v>
      </c>
      <c r="AF127" t="s">
        <v>549</v>
      </c>
      <c r="AG127">
        <v>32.700000000000003</v>
      </c>
      <c r="AH127">
        <v>-28.5</v>
      </c>
      <c r="AO127" s="54" t="s">
        <v>567</v>
      </c>
      <c r="AP127">
        <v>219</v>
      </c>
      <c r="AQ127">
        <v>-71</v>
      </c>
      <c r="AR127" s="2" t="s">
        <v>159</v>
      </c>
      <c r="AS127" t="s">
        <v>66</v>
      </c>
      <c r="AT127" t="s">
        <v>114</v>
      </c>
      <c r="AU127" s="64"/>
      <c r="AV127" s="60"/>
      <c r="AX127">
        <v>-77.900000000000006</v>
      </c>
      <c r="AY127">
        <f>22.8+180</f>
        <v>202.8</v>
      </c>
      <c r="AZ127">
        <v>18.3</v>
      </c>
      <c r="BA127">
        <v>210.4</v>
      </c>
      <c r="BB127">
        <v>26.4</v>
      </c>
      <c r="BC127" s="53"/>
    </row>
    <row r="128" spans="1:55">
      <c r="A128" t="s">
        <v>568</v>
      </c>
      <c r="B128">
        <v>37.700000000000003</v>
      </c>
      <c r="D128" t="s">
        <v>569</v>
      </c>
      <c r="E128">
        <v>1.39</v>
      </c>
      <c r="F128">
        <v>33.5</v>
      </c>
      <c r="G128" t="s">
        <v>570</v>
      </c>
      <c r="I128">
        <v>50.2</v>
      </c>
      <c r="J128">
        <v>20</v>
      </c>
      <c r="K128" s="2" t="s">
        <v>571</v>
      </c>
      <c r="L128">
        <v>56</v>
      </c>
      <c r="M128">
        <v>52</v>
      </c>
      <c r="N128">
        <v>31.2</v>
      </c>
      <c r="O128">
        <v>49.6</v>
      </c>
      <c r="V128" t="s">
        <v>572</v>
      </c>
      <c r="W128" s="139" t="s">
        <v>85</v>
      </c>
      <c r="X128">
        <v>233</v>
      </c>
      <c r="Y128">
        <v>4</v>
      </c>
      <c r="Z128" t="s">
        <v>63</v>
      </c>
      <c r="AA128" s="3">
        <v>234.2</v>
      </c>
      <c r="AB128" s="3">
        <v>2.8</v>
      </c>
      <c r="AC128" s="2" t="s">
        <v>573</v>
      </c>
      <c r="AD128">
        <v>87</v>
      </c>
      <c r="AE128">
        <v>-25</v>
      </c>
      <c r="AF128" t="s">
        <v>549</v>
      </c>
      <c r="AG128">
        <v>92.3</v>
      </c>
      <c r="AH128">
        <v>-12.2</v>
      </c>
      <c r="AO128" s="71"/>
      <c r="AP128" s="7"/>
      <c r="AR128" s="2" t="s">
        <v>39</v>
      </c>
      <c r="AT128" t="s">
        <v>200</v>
      </c>
      <c r="AU128" s="70"/>
      <c r="AV128" s="60"/>
      <c r="BA128" t="s">
        <v>69</v>
      </c>
      <c r="BC128" s="53"/>
    </row>
    <row r="129" spans="1:55">
      <c r="A129" t="s">
        <v>574</v>
      </c>
      <c r="B129">
        <v>37.28</v>
      </c>
      <c r="D129" t="s">
        <v>531</v>
      </c>
      <c r="E129">
        <v>0.81899999999999995</v>
      </c>
      <c r="F129">
        <v>21.7</v>
      </c>
      <c r="G129" s="58" t="s">
        <v>575</v>
      </c>
      <c r="I129">
        <v>50.2</v>
      </c>
      <c r="J129">
        <v>20</v>
      </c>
      <c r="K129" s="139" t="s">
        <v>85</v>
      </c>
      <c r="L129">
        <v>70</v>
      </c>
      <c r="M129">
        <v>65</v>
      </c>
      <c r="N129">
        <v>26.4</v>
      </c>
      <c r="O129">
        <v>64.2</v>
      </c>
      <c r="V129" t="s">
        <v>576</v>
      </c>
      <c r="W129" s="2"/>
      <c r="AC129" s="2" t="s">
        <v>577</v>
      </c>
      <c r="AD129">
        <v>66</v>
      </c>
      <c r="AE129">
        <v>-14</v>
      </c>
      <c r="AF129" t="s">
        <v>549</v>
      </c>
      <c r="AG129">
        <v>69.7</v>
      </c>
      <c r="AH129">
        <v>-7.9</v>
      </c>
      <c r="AI129" s="2" t="s">
        <v>418</v>
      </c>
      <c r="AJ129">
        <v>125</v>
      </c>
      <c r="AK129">
        <v>-8</v>
      </c>
      <c r="AL129" s="140" t="s">
        <v>525</v>
      </c>
      <c r="AM129">
        <v>124.8</v>
      </c>
      <c r="AN129">
        <v>11.3</v>
      </c>
      <c r="AO129" s="2" t="s">
        <v>578</v>
      </c>
      <c r="AP129">
        <v>31</v>
      </c>
      <c r="AQ129">
        <v>68</v>
      </c>
      <c r="AR129" s="2" t="s">
        <v>105</v>
      </c>
      <c r="AS129" t="s">
        <v>87</v>
      </c>
      <c r="AT129" t="s">
        <v>107</v>
      </c>
      <c r="AU129" s="59"/>
      <c r="AV129" s="69"/>
      <c r="AX129">
        <v>79.900000000000006</v>
      </c>
      <c r="AY129">
        <v>21.8</v>
      </c>
      <c r="AZ129">
        <v>-21.7</v>
      </c>
      <c r="BA129">
        <v>30.7</v>
      </c>
      <c r="BB129">
        <v>-29.9</v>
      </c>
      <c r="BC129" s="53"/>
    </row>
    <row r="130" spans="1:55">
      <c r="A130" t="s">
        <v>579</v>
      </c>
      <c r="B130">
        <v>37.28</v>
      </c>
      <c r="D130" t="s">
        <v>569</v>
      </c>
      <c r="E130">
        <v>1.2</v>
      </c>
      <c r="F130">
        <v>32.5</v>
      </c>
      <c r="G130" s="58" t="s">
        <v>580</v>
      </c>
      <c r="I130">
        <v>50.2</v>
      </c>
      <c r="J130">
        <v>20</v>
      </c>
      <c r="P130" s="2">
        <v>1.7</v>
      </c>
      <c r="Q130" t="s">
        <v>539</v>
      </c>
      <c r="R130">
        <v>341</v>
      </c>
      <c r="S130">
        <v>-33</v>
      </c>
      <c r="T130" s="5">
        <v>348.6</v>
      </c>
      <c r="U130" s="5">
        <v>-51.3</v>
      </c>
      <c r="V130" t="s">
        <v>289</v>
      </c>
      <c r="AC130" s="139" t="s">
        <v>385</v>
      </c>
      <c r="AD130">
        <v>346</v>
      </c>
      <c r="AE130">
        <v>10</v>
      </c>
      <c r="AF130" s="61" t="s">
        <v>534</v>
      </c>
      <c r="AG130">
        <v>345.9</v>
      </c>
      <c r="AH130">
        <v>-8.1</v>
      </c>
      <c r="AI130" s="2" t="s">
        <v>581</v>
      </c>
      <c r="AJ130">
        <v>314</v>
      </c>
      <c r="AK130">
        <v>-12</v>
      </c>
      <c r="AL130" s="61" t="s">
        <v>534</v>
      </c>
      <c r="AM130">
        <v>313.10000000000002</v>
      </c>
      <c r="AN130">
        <v>-31.9</v>
      </c>
      <c r="AO130" s="2" t="s">
        <v>582</v>
      </c>
      <c r="AP130">
        <v>217</v>
      </c>
      <c r="AQ130">
        <v>-35</v>
      </c>
      <c r="AR130" s="2" t="s">
        <v>113</v>
      </c>
      <c r="AS130" t="s">
        <v>87</v>
      </c>
      <c r="AT130" t="s">
        <v>168</v>
      </c>
      <c r="AU130" s="59"/>
      <c r="AV130" s="69"/>
      <c r="AW130">
        <v>52.7</v>
      </c>
      <c r="BA130" t="s">
        <v>69</v>
      </c>
      <c r="BC130" s="53"/>
    </row>
    <row r="131" spans="1:55">
      <c r="A131" t="s">
        <v>583</v>
      </c>
      <c r="B131">
        <v>38.18</v>
      </c>
      <c r="D131" t="s">
        <v>546</v>
      </c>
      <c r="E131">
        <v>5.181</v>
      </c>
      <c r="F131">
        <v>36.9</v>
      </c>
      <c r="G131" t="s">
        <v>584</v>
      </c>
      <c r="I131">
        <v>52.7</v>
      </c>
      <c r="J131">
        <v>15</v>
      </c>
      <c r="K131" s="139" t="s">
        <v>92</v>
      </c>
      <c r="L131">
        <v>183</v>
      </c>
      <c r="M131">
        <v>78</v>
      </c>
      <c r="N131">
        <v>269.3</v>
      </c>
      <c r="O131">
        <v>80.400000000000006</v>
      </c>
      <c r="P131" s="2">
        <v>2</v>
      </c>
      <c r="V131" t="s">
        <v>121</v>
      </c>
      <c r="W131" s="2" t="s">
        <v>585</v>
      </c>
      <c r="AC131" s="54" t="s">
        <v>313</v>
      </c>
      <c r="AD131">
        <v>68</v>
      </c>
      <c r="AE131">
        <v>-11</v>
      </c>
      <c r="AF131" t="s">
        <v>549</v>
      </c>
      <c r="AG131">
        <v>70.3</v>
      </c>
      <c r="AH131">
        <v>-6.7</v>
      </c>
      <c r="AO131" s="54" t="s">
        <v>341</v>
      </c>
      <c r="AP131">
        <v>338</v>
      </c>
      <c r="AQ131">
        <v>7</v>
      </c>
      <c r="AR131" s="71" t="s">
        <v>105</v>
      </c>
      <c r="AS131" s="7" t="s">
        <v>106</v>
      </c>
      <c r="AT131" t="s">
        <v>586</v>
      </c>
      <c r="AU131" s="59"/>
      <c r="AV131" s="69"/>
      <c r="AX131">
        <v>54.1</v>
      </c>
      <c r="AY131">
        <v>59.2</v>
      </c>
      <c r="AZ131">
        <v>-51.3</v>
      </c>
      <c r="BA131">
        <v>76.2</v>
      </c>
      <c r="BB131">
        <v>-47.4</v>
      </c>
      <c r="BC131" s="53"/>
    </row>
    <row r="132" spans="1:55">
      <c r="A132" t="s">
        <v>587</v>
      </c>
      <c r="B132">
        <v>38.75</v>
      </c>
      <c r="D132" t="s">
        <v>446</v>
      </c>
      <c r="E132">
        <v>1.92</v>
      </c>
      <c r="F132">
        <v>27.9</v>
      </c>
      <c r="G132" t="s">
        <v>588</v>
      </c>
      <c r="I132">
        <v>52.7</v>
      </c>
      <c r="J132">
        <v>21</v>
      </c>
      <c r="K132" s="139" t="s">
        <v>85</v>
      </c>
      <c r="L132">
        <v>346</v>
      </c>
      <c r="M132">
        <v>85</v>
      </c>
      <c r="N132">
        <v>327.3</v>
      </c>
      <c r="O132">
        <v>64.3</v>
      </c>
      <c r="P132" s="2">
        <v>1.4</v>
      </c>
      <c r="Q132" t="s">
        <v>589</v>
      </c>
      <c r="R132">
        <v>202</v>
      </c>
      <c r="S132">
        <v>27</v>
      </c>
      <c r="T132" s="5">
        <v>213.8</v>
      </c>
      <c r="U132" s="5">
        <v>35.9</v>
      </c>
      <c r="V132" t="s">
        <v>590</v>
      </c>
      <c r="W132" s="2"/>
      <c r="AO132" s="2" t="s">
        <v>591</v>
      </c>
      <c r="AP132">
        <v>106</v>
      </c>
      <c r="AQ132">
        <v>13</v>
      </c>
      <c r="AR132" s="71" t="s">
        <v>167</v>
      </c>
      <c r="AS132" s="7" t="s">
        <v>87</v>
      </c>
      <c r="AT132" t="s">
        <v>309</v>
      </c>
      <c r="AU132" s="64"/>
      <c r="AV132" s="80"/>
      <c r="AW132">
        <v>-82.9</v>
      </c>
      <c r="BA132" t="s">
        <v>69</v>
      </c>
      <c r="BC132" s="53"/>
    </row>
    <row r="133" spans="1:55">
      <c r="A133" t="s">
        <v>592</v>
      </c>
      <c r="B133">
        <v>39.56</v>
      </c>
      <c r="D133" t="s">
        <v>593</v>
      </c>
      <c r="E133">
        <v>1.47</v>
      </c>
      <c r="F133">
        <v>37.799999999999997</v>
      </c>
      <c r="G133" s="58" t="s">
        <v>594</v>
      </c>
      <c r="I133">
        <v>52.7</v>
      </c>
      <c r="J133">
        <v>21</v>
      </c>
      <c r="K133" s="139" t="s">
        <v>385</v>
      </c>
      <c r="L133">
        <v>162</v>
      </c>
      <c r="M133">
        <v>83</v>
      </c>
      <c r="N133">
        <v>313.5</v>
      </c>
      <c r="O133">
        <v>75.400000000000006</v>
      </c>
      <c r="P133" s="2">
        <v>2</v>
      </c>
      <c r="Q133" t="s">
        <v>595</v>
      </c>
      <c r="R133">
        <v>206</v>
      </c>
      <c r="S133">
        <v>16</v>
      </c>
      <c r="T133" s="5">
        <v>213.2</v>
      </c>
      <c r="U133" s="5">
        <v>24.3</v>
      </c>
      <c r="V133" t="s">
        <v>596</v>
      </c>
      <c r="W133" s="2"/>
      <c r="AC133" s="2" t="s">
        <v>522</v>
      </c>
      <c r="AD133">
        <v>75</v>
      </c>
      <c r="AE133">
        <v>-35</v>
      </c>
      <c r="AF133" t="s">
        <v>549</v>
      </c>
      <c r="AG133">
        <v>85.9</v>
      </c>
      <c r="AH133">
        <v>-25.1</v>
      </c>
      <c r="AO133" s="2" t="s">
        <v>591</v>
      </c>
      <c r="AP133">
        <v>112</v>
      </c>
      <c r="AQ133">
        <v>38</v>
      </c>
      <c r="AR133" s="71" t="s">
        <v>167</v>
      </c>
      <c r="AS133" s="7" t="s">
        <v>87</v>
      </c>
      <c r="AT133" t="s">
        <v>114</v>
      </c>
      <c r="AU133" s="64"/>
      <c r="AV133" s="80"/>
      <c r="AW133">
        <v>-75.900000000000006</v>
      </c>
      <c r="BA133" t="s">
        <v>69</v>
      </c>
      <c r="BC133" s="53"/>
    </row>
    <row r="134" spans="1:55">
      <c r="A134" t="s">
        <v>597</v>
      </c>
      <c r="B134">
        <v>40.450000000000003</v>
      </c>
      <c r="D134" t="s">
        <v>598</v>
      </c>
      <c r="E134">
        <v>1.4</v>
      </c>
      <c r="F134">
        <v>33.799999999999997</v>
      </c>
      <c r="G134" s="58" t="s">
        <v>599</v>
      </c>
      <c r="I134">
        <v>52.7</v>
      </c>
      <c r="J134">
        <v>21</v>
      </c>
      <c r="K134" s="139" t="s">
        <v>279</v>
      </c>
      <c r="L134">
        <v>165</v>
      </c>
      <c r="M134">
        <v>72</v>
      </c>
      <c r="N134">
        <v>264.89999999999998</v>
      </c>
      <c r="O134">
        <v>82</v>
      </c>
      <c r="P134" s="2">
        <v>2.5</v>
      </c>
      <c r="Q134" t="s">
        <v>278</v>
      </c>
      <c r="R134">
        <v>194</v>
      </c>
      <c r="S134">
        <v>38</v>
      </c>
      <c r="T134" s="5">
        <v>211.4</v>
      </c>
      <c r="U134" s="5">
        <v>48.7</v>
      </c>
      <c r="V134" t="s">
        <v>395</v>
      </c>
      <c r="W134" s="2"/>
      <c r="AO134" s="54" t="s">
        <v>341</v>
      </c>
      <c r="AP134">
        <v>306</v>
      </c>
      <c r="AQ134">
        <v>27</v>
      </c>
      <c r="AR134" s="71" t="s">
        <v>167</v>
      </c>
      <c r="AS134" s="7" t="s">
        <v>66</v>
      </c>
      <c r="AT134" t="s">
        <v>309</v>
      </c>
      <c r="AU134" s="64"/>
      <c r="AV134" s="80"/>
      <c r="AW134">
        <v>-83.9</v>
      </c>
      <c r="BA134" t="s">
        <v>69</v>
      </c>
      <c r="BC134" s="53"/>
    </row>
    <row r="135" spans="1:55">
      <c r="A135" t="s">
        <v>600</v>
      </c>
      <c r="B135">
        <v>41.31</v>
      </c>
      <c r="D135" t="s">
        <v>546</v>
      </c>
      <c r="E135">
        <v>3.3769999999999998</v>
      </c>
      <c r="F135">
        <v>31</v>
      </c>
      <c r="G135" t="s">
        <v>601</v>
      </c>
      <c r="I135">
        <v>52.7</v>
      </c>
      <c r="J135">
        <v>21</v>
      </c>
      <c r="K135" s="139" t="s">
        <v>92</v>
      </c>
      <c r="L135">
        <v>66</v>
      </c>
      <c r="M135">
        <v>78</v>
      </c>
      <c r="N135">
        <v>356.2</v>
      </c>
      <c r="O135">
        <v>68.5</v>
      </c>
      <c r="P135" s="2">
        <v>3</v>
      </c>
      <c r="Q135" t="s">
        <v>602</v>
      </c>
      <c r="R135">
        <v>185</v>
      </c>
      <c r="S135">
        <v>18</v>
      </c>
      <c r="T135" s="5">
        <v>192.2</v>
      </c>
      <c r="U135" s="5">
        <v>32.700000000000003</v>
      </c>
      <c r="AO135" s="54" t="s">
        <v>341</v>
      </c>
      <c r="AP135">
        <v>82</v>
      </c>
      <c r="AQ135">
        <v>-7</v>
      </c>
      <c r="AR135" s="71" t="s">
        <v>113</v>
      </c>
      <c r="AS135" s="7" t="s">
        <v>106</v>
      </c>
      <c r="AT135" t="s">
        <v>114</v>
      </c>
      <c r="AU135" s="64"/>
      <c r="AV135" s="80"/>
      <c r="AW135">
        <v>-70.8</v>
      </c>
      <c r="BA135" t="s">
        <v>69</v>
      </c>
      <c r="BC135" s="53"/>
    </row>
    <row r="136" spans="1:55">
      <c r="A136" t="s">
        <v>603</v>
      </c>
      <c r="B136">
        <v>41.31</v>
      </c>
      <c r="D136" t="s">
        <v>598</v>
      </c>
      <c r="E136">
        <v>2.0699999999999998</v>
      </c>
      <c r="F136">
        <v>44</v>
      </c>
      <c r="G136" s="58" t="s">
        <v>604</v>
      </c>
      <c r="I136">
        <v>52.7</v>
      </c>
      <c r="J136">
        <v>21</v>
      </c>
      <c r="K136" s="139" t="s">
        <v>85</v>
      </c>
      <c r="L136">
        <v>80</v>
      </c>
      <c r="M136">
        <v>71</v>
      </c>
      <c r="N136">
        <v>18.100000000000001</v>
      </c>
      <c r="O136">
        <v>69.400000000000006</v>
      </c>
      <c r="P136" s="2">
        <v>2.2000000000000002</v>
      </c>
      <c r="Q136" s="63" t="s">
        <v>605</v>
      </c>
      <c r="R136">
        <v>173</v>
      </c>
      <c r="S136">
        <v>52</v>
      </c>
      <c r="T136" s="5">
        <v>198.2</v>
      </c>
      <c r="U136" s="5">
        <v>67.8</v>
      </c>
      <c r="V136" t="s">
        <v>606</v>
      </c>
      <c r="W136" s="2" t="s">
        <v>607</v>
      </c>
      <c r="X136">
        <v>239</v>
      </c>
      <c r="Y136">
        <v>6</v>
      </c>
      <c r="Z136" t="s">
        <v>63</v>
      </c>
      <c r="AA136" s="3">
        <v>240.7</v>
      </c>
      <c r="AB136" s="3">
        <v>3.4</v>
      </c>
      <c r="AO136" s="2" t="s">
        <v>608</v>
      </c>
      <c r="AP136">
        <v>148</v>
      </c>
      <c r="AQ136">
        <v>-14</v>
      </c>
      <c r="AR136" s="71" t="s">
        <v>113</v>
      </c>
      <c r="AS136" s="7" t="s">
        <v>87</v>
      </c>
      <c r="AT136" t="s">
        <v>114</v>
      </c>
      <c r="AU136" s="64"/>
      <c r="AV136" s="80"/>
      <c r="AW136">
        <v>-63.1</v>
      </c>
      <c r="BA136" t="s">
        <v>69</v>
      </c>
      <c r="BC136" s="53"/>
    </row>
    <row r="137" spans="1:55">
      <c r="A137" t="s">
        <v>609</v>
      </c>
      <c r="B137">
        <v>42.05</v>
      </c>
      <c r="D137" t="s">
        <v>598</v>
      </c>
      <c r="E137">
        <v>1.97</v>
      </c>
      <c r="F137">
        <v>29.8</v>
      </c>
      <c r="G137" s="58" t="s">
        <v>610</v>
      </c>
      <c r="I137">
        <v>64.7</v>
      </c>
      <c r="J137">
        <v>21</v>
      </c>
      <c r="K137" s="139" t="s">
        <v>85</v>
      </c>
      <c r="L137">
        <v>201</v>
      </c>
      <c r="M137">
        <v>69</v>
      </c>
      <c r="N137">
        <v>266.5</v>
      </c>
      <c r="O137">
        <v>73.8</v>
      </c>
      <c r="P137" s="2">
        <v>2</v>
      </c>
      <c r="Q137" t="s">
        <v>611</v>
      </c>
      <c r="R137">
        <v>203</v>
      </c>
      <c r="S137">
        <v>40</v>
      </c>
      <c r="T137" s="5">
        <v>221.5</v>
      </c>
      <c r="U137" s="5">
        <v>51.5</v>
      </c>
      <c r="V137" t="s">
        <v>612</v>
      </c>
      <c r="AC137" s="2" t="s">
        <v>613</v>
      </c>
      <c r="AD137" s="53">
        <v>151</v>
      </c>
      <c r="AE137" s="53">
        <v>-28</v>
      </c>
      <c r="AF137" s="143" t="s">
        <v>525</v>
      </c>
      <c r="AG137">
        <v>151.4</v>
      </c>
      <c r="AH137">
        <v>-7</v>
      </c>
      <c r="AO137" s="2" t="s">
        <v>614</v>
      </c>
      <c r="AP137">
        <v>121</v>
      </c>
      <c r="AQ137">
        <v>-4</v>
      </c>
      <c r="AR137" s="71" t="s">
        <v>167</v>
      </c>
      <c r="AS137" s="7" t="s">
        <v>87</v>
      </c>
      <c r="AT137" t="s">
        <v>309</v>
      </c>
      <c r="AU137" s="64"/>
      <c r="AV137" s="80"/>
      <c r="AW137">
        <v>-87.3</v>
      </c>
      <c r="BA137" t="s">
        <v>69</v>
      </c>
      <c r="BC137" s="53"/>
    </row>
    <row r="138" spans="1:55">
      <c r="A138" t="s">
        <v>615</v>
      </c>
      <c r="B138">
        <v>42.83</v>
      </c>
      <c r="D138" t="s">
        <v>593</v>
      </c>
      <c r="E138">
        <v>2.76</v>
      </c>
      <c r="F138">
        <v>29.4</v>
      </c>
      <c r="G138" s="58" t="s">
        <v>616</v>
      </c>
      <c r="I138">
        <v>68.7</v>
      </c>
      <c r="J138">
        <v>20</v>
      </c>
      <c r="K138" s="139" t="s">
        <v>385</v>
      </c>
      <c r="L138">
        <v>208</v>
      </c>
      <c r="M138">
        <v>76</v>
      </c>
      <c r="N138">
        <v>293.7</v>
      </c>
      <c r="O138">
        <v>75</v>
      </c>
      <c r="P138" s="2">
        <v>1.2</v>
      </c>
      <c r="Q138" t="s">
        <v>617</v>
      </c>
      <c r="R138">
        <v>203</v>
      </c>
      <c r="S138">
        <v>34</v>
      </c>
      <c r="T138" s="5">
        <v>216.4</v>
      </c>
      <c r="U138" s="5">
        <v>46.8</v>
      </c>
      <c r="V138" t="s">
        <v>289</v>
      </c>
      <c r="W138" s="2" t="s">
        <v>618</v>
      </c>
      <c r="X138">
        <v>251</v>
      </c>
      <c r="Y138">
        <v>-41</v>
      </c>
      <c r="Z138" t="s">
        <v>63</v>
      </c>
      <c r="AA138">
        <v>234.1</v>
      </c>
      <c r="AB138">
        <v>-38.799999999999997</v>
      </c>
      <c r="AO138" s="2" t="s">
        <v>608</v>
      </c>
      <c r="AP138">
        <v>136</v>
      </c>
      <c r="AQ138">
        <v>-18</v>
      </c>
      <c r="AR138" s="71" t="s">
        <v>469</v>
      </c>
      <c r="AS138" s="7" t="s">
        <v>87</v>
      </c>
      <c r="AT138" t="s">
        <v>309</v>
      </c>
      <c r="AU138" s="64"/>
      <c r="AV138" s="80"/>
      <c r="AW138">
        <v>-86.5</v>
      </c>
      <c r="BA138" t="s">
        <v>69</v>
      </c>
      <c r="BC138" s="53"/>
    </row>
    <row r="139" spans="1:55">
      <c r="A139" t="s">
        <v>619</v>
      </c>
      <c r="B139">
        <v>43.52</v>
      </c>
      <c r="D139" t="s">
        <v>598</v>
      </c>
      <c r="E139">
        <v>1.5</v>
      </c>
      <c r="F139">
        <v>34.799999999999997</v>
      </c>
      <c r="G139" s="58" t="s">
        <v>620</v>
      </c>
      <c r="I139">
        <v>66.7</v>
      </c>
      <c r="J139">
        <v>20.5</v>
      </c>
      <c r="K139" s="139" t="s">
        <v>318</v>
      </c>
      <c r="L139">
        <v>27</v>
      </c>
      <c r="M139">
        <v>60</v>
      </c>
      <c r="N139">
        <v>9.3000000000000007</v>
      </c>
      <c r="O139">
        <v>44.4</v>
      </c>
      <c r="P139" s="2">
        <v>1</v>
      </c>
      <c r="Q139" s="2" t="s">
        <v>621</v>
      </c>
      <c r="R139">
        <v>191</v>
      </c>
      <c r="S139">
        <v>-7</v>
      </c>
      <c r="T139" s="5">
        <v>191.3</v>
      </c>
      <c r="U139" s="5">
        <v>10</v>
      </c>
      <c r="AC139" s="54" t="s">
        <v>335</v>
      </c>
      <c r="AD139">
        <v>127</v>
      </c>
      <c r="AE139">
        <v>-5</v>
      </c>
      <c r="AF139" s="140" t="s">
        <v>525</v>
      </c>
      <c r="AG139">
        <v>126.3</v>
      </c>
      <c r="AH139">
        <v>12.8</v>
      </c>
      <c r="AO139" s="2"/>
      <c r="AR139" s="71" t="s">
        <v>137</v>
      </c>
      <c r="AS139" s="7"/>
      <c r="AT139" t="s">
        <v>181</v>
      </c>
      <c r="AU139" s="70"/>
      <c r="AV139" s="60"/>
      <c r="BC139" s="53"/>
    </row>
    <row r="140" spans="1:55">
      <c r="A140" t="s">
        <v>622</v>
      </c>
      <c r="B140">
        <v>43.52</v>
      </c>
      <c r="D140" t="s">
        <v>623</v>
      </c>
      <c r="E140">
        <v>1.0129999999999999</v>
      </c>
      <c r="F140">
        <v>31.2</v>
      </c>
      <c r="G140" s="58" t="s">
        <v>624</v>
      </c>
      <c r="I140">
        <v>66.7</v>
      </c>
      <c r="J140">
        <v>20.5</v>
      </c>
      <c r="K140" s="139" t="s">
        <v>318</v>
      </c>
      <c r="L140">
        <v>167</v>
      </c>
      <c r="M140">
        <v>82</v>
      </c>
      <c r="N140">
        <v>330.2</v>
      </c>
      <c r="O140">
        <v>77.3</v>
      </c>
      <c r="P140" s="2">
        <v>4</v>
      </c>
      <c r="Q140" s="2"/>
      <c r="W140" s="63" t="s">
        <v>244</v>
      </c>
      <c r="X140">
        <v>175</v>
      </c>
      <c r="Y140">
        <v>-7</v>
      </c>
      <c r="Z140" t="s">
        <v>63</v>
      </c>
      <c r="AA140" s="3">
        <v>175.3</v>
      </c>
      <c r="AB140" s="3">
        <v>12.5</v>
      </c>
      <c r="AC140" s="54"/>
      <c r="AF140" s="140"/>
      <c r="AG140"/>
      <c r="AH140"/>
      <c r="AO140" s="2"/>
      <c r="AR140" s="71" t="s">
        <v>63</v>
      </c>
      <c r="AS140" s="7"/>
      <c r="AT140" t="s">
        <v>181</v>
      </c>
      <c r="AU140" s="70"/>
      <c r="AV140" s="60"/>
      <c r="BC140" s="53"/>
    </row>
    <row r="141" spans="1:55">
      <c r="A141" t="s">
        <v>625</v>
      </c>
      <c r="B141">
        <v>44.2</v>
      </c>
      <c r="D141" t="s">
        <v>593</v>
      </c>
      <c r="E141">
        <v>1.87</v>
      </c>
      <c r="F141">
        <v>38</v>
      </c>
      <c r="G141" s="58" t="s">
        <v>626</v>
      </c>
      <c r="I141">
        <v>66.7</v>
      </c>
      <c r="J141">
        <v>20.5</v>
      </c>
      <c r="K141" s="139" t="s">
        <v>85</v>
      </c>
      <c r="L141">
        <v>166</v>
      </c>
      <c r="M141">
        <v>77</v>
      </c>
      <c r="N141">
        <v>321.39999999999998</v>
      </c>
      <c r="O141">
        <v>82.1</v>
      </c>
      <c r="Q141" s="2" t="s">
        <v>627</v>
      </c>
      <c r="R141">
        <v>206</v>
      </c>
      <c r="S141">
        <v>-5</v>
      </c>
      <c r="T141" s="5">
        <v>206.5</v>
      </c>
      <c r="U141" s="5">
        <v>8.4</v>
      </c>
      <c r="W141" s="2" t="s">
        <v>578</v>
      </c>
      <c r="X141">
        <v>182</v>
      </c>
      <c r="Y141">
        <v>-13</v>
      </c>
      <c r="Z141" t="s">
        <v>190</v>
      </c>
      <c r="AA141" s="3">
        <v>181.4</v>
      </c>
      <c r="AB141" s="3">
        <v>5.6</v>
      </c>
      <c r="AC141" s="2" t="s">
        <v>628</v>
      </c>
      <c r="AD141">
        <v>95</v>
      </c>
      <c r="AE141">
        <v>-35</v>
      </c>
      <c r="AF141" t="s">
        <v>549</v>
      </c>
      <c r="AG141">
        <v>104.8</v>
      </c>
      <c r="AH141">
        <v>-23.7</v>
      </c>
      <c r="AO141" s="2"/>
      <c r="AR141" s="71" t="s">
        <v>63</v>
      </c>
      <c r="AS141" s="7"/>
      <c r="AT141" t="s">
        <v>138</v>
      </c>
      <c r="AU141" s="72"/>
      <c r="AV141" s="60"/>
      <c r="AW141">
        <v>-65.599999999999994</v>
      </c>
      <c r="BC141" s="53"/>
    </row>
    <row r="142" spans="1:55">
      <c r="A142" t="s">
        <v>629</v>
      </c>
      <c r="B142">
        <v>44.2</v>
      </c>
      <c r="D142" t="s">
        <v>593</v>
      </c>
      <c r="E142">
        <v>2.0529999999999999</v>
      </c>
      <c r="F142">
        <v>36.9</v>
      </c>
      <c r="G142" s="58" t="s">
        <v>630</v>
      </c>
      <c r="I142">
        <v>66.7</v>
      </c>
      <c r="J142">
        <v>20.5</v>
      </c>
      <c r="K142" s="144" t="s">
        <v>473</v>
      </c>
      <c r="L142">
        <v>160</v>
      </c>
      <c r="M142">
        <v>75</v>
      </c>
      <c r="N142">
        <v>327.9</v>
      </c>
      <c r="O142">
        <v>84.4</v>
      </c>
      <c r="P142" s="2">
        <v>7</v>
      </c>
      <c r="Q142" s="53" t="s">
        <v>631</v>
      </c>
      <c r="R142">
        <v>213</v>
      </c>
      <c r="S142">
        <v>20</v>
      </c>
      <c r="T142" s="3">
        <v>221.5</v>
      </c>
      <c r="U142" s="3">
        <v>30.2</v>
      </c>
      <c r="W142" s="53" t="s">
        <v>336</v>
      </c>
      <c r="X142">
        <v>202</v>
      </c>
      <c r="Y142">
        <v>4</v>
      </c>
      <c r="Z142" t="s">
        <v>63</v>
      </c>
      <c r="AA142" s="3">
        <v>205</v>
      </c>
      <c r="AB142" s="3">
        <v>18.100000000000001</v>
      </c>
      <c r="AG142"/>
      <c r="AH142"/>
      <c r="AO142" s="54" t="s">
        <v>423</v>
      </c>
      <c r="AP142">
        <v>287</v>
      </c>
      <c r="AQ142">
        <v>-32</v>
      </c>
      <c r="AR142" s="71" t="s">
        <v>167</v>
      </c>
      <c r="AS142" s="7" t="s">
        <v>66</v>
      </c>
      <c r="AT142" t="s">
        <v>309</v>
      </c>
      <c r="AU142" s="72"/>
      <c r="AV142" s="100"/>
      <c r="AW142">
        <v>-73.8</v>
      </c>
      <c r="BC142" s="53"/>
    </row>
    <row r="143" spans="1:55">
      <c r="A143" t="s">
        <v>632</v>
      </c>
      <c r="B143">
        <v>44.95</v>
      </c>
      <c r="D143" t="s">
        <v>633</v>
      </c>
      <c r="E143">
        <v>2.93</v>
      </c>
      <c r="F143">
        <v>27.1</v>
      </c>
      <c r="G143" t="s">
        <v>634</v>
      </c>
      <c r="I143">
        <v>66.7</v>
      </c>
      <c r="J143">
        <v>20.5</v>
      </c>
      <c r="P143" s="2">
        <v>1</v>
      </c>
      <c r="AC143" s="139" t="s">
        <v>92</v>
      </c>
      <c r="AD143">
        <v>6</v>
      </c>
      <c r="AE143">
        <v>26</v>
      </c>
      <c r="AF143" s="140" t="s">
        <v>534</v>
      </c>
      <c r="AG143">
        <v>3.1</v>
      </c>
      <c r="AH143">
        <v>7.8</v>
      </c>
      <c r="AI143" s="2" t="s">
        <v>122</v>
      </c>
      <c r="AJ143">
        <v>318</v>
      </c>
      <c r="AK143">
        <v>65</v>
      </c>
      <c r="AL143" s="61" t="s">
        <v>534</v>
      </c>
      <c r="AM143">
        <v>325.60000000000002</v>
      </c>
      <c r="AN143">
        <v>45.1</v>
      </c>
      <c r="AO143" s="54" t="s">
        <v>635</v>
      </c>
      <c r="AP143">
        <v>106</v>
      </c>
      <c r="AQ143">
        <v>20</v>
      </c>
      <c r="AR143" s="2" t="s">
        <v>159</v>
      </c>
      <c r="AS143" s="7" t="s">
        <v>87</v>
      </c>
      <c r="AT143" t="s">
        <v>123</v>
      </c>
      <c r="AU143" s="72"/>
      <c r="AV143" s="60"/>
      <c r="AW143" s="7"/>
      <c r="AX143">
        <v>-80.3</v>
      </c>
      <c r="AY143">
        <f>30.6+180</f>
        <v>210.6</v>
      </c>
      <c r="AZ143">
        <v>34.700000000000003</v>
      </c>
      <c r="BA143">
        <v>225.7</v>
      </c>
      <c r="BB143">
        <v>44.7</v>
      </c>
      <c r="BC143" s="53"/>
    </row>
    <row r="144" spans="1:55">
      <c r="A144" t="s">
        <v>636</v>
      </c>
      <c r="B144">
        <v>44.95</v>
      </c>
      <c r="D144" t="s">
        <v>598</v>
      </c>
      <c r="E144">
        <v>1.61</v>
      </c>
      <c r="F144">
        <v>35</v>
      </c>
      <c r="G144" s="58" t="s">
        <v>637</v>
      </c>
      <c r="I144">
        <v>66.7</v>
      </c>
      <c r="J144">
        <v>20.5</v>
      </c>
      <c r="K144" s="139" t="s">
        <v>385</v>
      </c>
      <c r="L144">
        <v>109</v>
      </c>
      <c r="M144">
        <v>77</v>
      </c>
      <c r="N144">
        <v>16.5</v>
      </c>
      <c r="O144">
        <v>74.900000000000006</v>
      </c>
      <c r="P144" s="2">
        <v>1.7</v>
      </c>
      <c r="W144" s="2" t="s">
        <v>621</v>
      </c>
      <c r="X144">
        <v>216</v>
      </c>
      <c r="Y144">
        <v>-3</v>
      </c>
      <c r="Z144" t="s">
        <v>63</v>
      </c>
      <c r="AA144" s="3">
        <v>216.7</v>
      </c>
      <c r="AB144" s="3">
        <v>7.4</v>
      </c>
      <c r="AC144" s="54" t="s">
        <v>553</v>
      </c>
      <c r="AD144">
        <v>94</v>
      </c>
      <c r="AE144">
        <v>-21</v>
      </c>
      <c r="AF144" t="s">
        <v>549</v>
      </c>
      <c r="AG144">
        <v>99.1</v>
      </c>
      <c r="AH144">
        <v>-10.7</v>
      </c>
      <c r="AO144" s="2"/>
      <c r="AR144" s="2" t="s">
        <v>63</v>
      </c>
      <c r="AT144" t="s">
        <v>200</v>
      </c>
      <c r="AU144" s="72"/>
      <c r="AV144" s="60"/>
      <c r="AW144" s="7"/>
      <c r="BC144" s="53"/>
    </row>
    <row r="145" spans="1:55">
      <c r="A145" t="s">
        <v>638</v>
      </c>
      <c r="B145">
        <v>44.95</v>
      </c>
      <c r="D145" t="s">
        <v>623</v>
      </c>
      <c r="E145">
        <v>1.2090000000000001</v>
      </c>
      <c r="F145">
        <v>34.200000000000003</v>
      </c>
      <c r="G145" s="58" t="s">
        <v>639</v>
      </c>
      <c r="I145">
        <v>66.7</v>
      </c>
      <c r="J145">
        <v>20.5</v>
      </c>
      <c r="K145" s="139" t="s">
        <v>85</v>
      </c>
      <c r="L145">
        <v>129</v>
      </c>
      <c r="M145">
        <v>61</v>
      </c>
      <c r="N145">
        <v>89.7</v>
      </c>
      <c r="O145">
        <v>75.8</v>
      </c>
      <c r="P145" s="2">
        <v>5</v>
      </c>
      <c r="V145" t="s">
        <v>640</v>
      </c>
      <c r="W145" s="2" t="s">
        <v>555</v>
      </c>
      <c r="X145">
        <v>163</v>
      </c>
      <c r="Y145">
        <v>-16</v>
      </c>
      <c r="Z145" t="s">
        <v>63</v>
      </c>
      <c r="AA145" s="3">
        <v>162.80000000000001</v>
      </c>
      <c r="AB145" s="3">
        <v>4.4000000000000004</v>
      </c>
      <c r="AC145" s="54"/>
      <c r="AG145"/>
      <c r="AH145"/>
      <c r="AO145" s="54" t="s">
        <v>553</v>
      </c>
      <c r="AP145">
        <v>113</v>
      </c>
      <c r="AQ145">
        <v>42</v>
      </c>
      <c r="AR145" s="2" t="s">
        <v>105</v>
      </c>
      <c r="AS145" t="s">
        <v>66</v>
      </c>
      <c r="AT145" t="s">
        <v>641</v>
      </c>
      <c r="AU145" s="72"/>
      <c r="AV145" s="60"/>
      <c r="AW145" s="7"/>
      <c r="AX145">
        <v>-65.900000000000006</v>
      </c>
      <c r="AY145">
        <f>43.2+180</f>
        <v>223.2</v>
      </c>
      <c r="AZ145">
        <v>21</v>
      </c>
      <c r="BA145">
        <v>232.1</v>
      </c>
      <c r="BB145">
        <v>27.8</v>
      </c>
      <c r="BC145" s="53"/>
    </row>
    <row r="146" spans="1:55">
      <c r="A146" t="s">
        <v>642</v>
      </c>
      <c r="B146">
        <v>46.08</v>
      </c>
      <c r="D146" t="s">
        <v>623</v>
      </c>
      <c r="E146">
        <v>1.7849999999999999</v>
      </c>
      <c r="F146">
        <v>23.6</v>
      </c>
      <c r="G146" s="58" t="s">
        <v>643</v>
      </c>
      <c r="I146">
        <v>66.7</v>
      </c>
      <c r="J146">
        <v>20.5</v>
      </c>
      <c r="K146" s="139" t="s">
        <v>85</v>
      </c>
      <c r="L146">
        <v>159</v>
      </c>
      <c r="M146">
        <v>61</v>
      </c>
      <c r="N146">
        <v>164.2</v>
      </c>
      <c r="O146">
        <v>81.400000000000006</v>
      </c>
      <c r="P146" s="2">
        <v>4</v>
      </c>
      <c r="Q146" t="s">
        <v>644</v>
      </c>
      <c r="R146">
        <v>200</v>
      </c>
      <c r="S146">
        <v>41</v>
      </c>
      <c r="T146" s="3">
        <v>217.9</v>
      </c>
      <c r="U146" s="3">
        <v>53.8</v>
      </c>
      <c r="V146" t="s">
        <v>193</v>
      </c>
      <c r="W146" s="2"/>
      <c r="AC146" s="54"/>
      <c r="AG146"/>
      <c r="AH146"/>
      <c r="AO146" s="54" t="s">
        <v>313</v>
      </c>
      <c r="AP146">
        <v>81</v>
      </c>
      <c r="AQ146">
        <v>20</v>
      </c>
      <c r="AR146" s="2" t="s">
        <v>167</v>
      </c>
      <c r="AS146" t="s">
        <v>66</v>
      </c>
      <c r="AT146" t="s">
        <v>114</v>
      </c>
      <c r="AU146" s="72"/>
      <c r="AV146" s="100"/>
      <c r="AW146">
        <v>-87.7</v>
      </c>
      <c r="BC146" s="53"/>
    </row>
    <row r="147" spans="1:55">
      <c r="A147" t="s">
        <v>645</v>
      </c>
      <c r="B147">
        <v>46.08</v>
      </c>
      <c r="D147" t="s">
        <v>593</v>
      </c>
      <c r="E147">
        <v>2.94</v>
      </c>
      <c r="F147">
        <v>33.9</v>
      </c>
      <c r="G147" s="58" t="s">
        <v>646</v>
      </c>
      <c r="I147">
        <v>66.7</v>
      </c>
      <c r="J147">
        <v>20.5</v>
      </c>
      <c r="K147" s="139" t="s">
        <v>85</v>
      </c>
      <c r="L147">
        <v>184</v>
      </c>
      <c r="M147">
        <v>56</v>
      </c>
      <c r="N147">
        <v>212.4</v>
      </c>
      <c r="O147">
        <v>71.900000000000006</v>
      </c>
      <c r="P147" s="2">
        <v>1.7</v>
      </c>
      <c r="Q147" t="s">
        <v>560</v>
      </c>
      <c r="R147">
        <v>224</v>
      </c>
      <c r="S147">
        <v>22</v>
      </c>
      <c r="T147" s="5">
        <v>233.3</v>
      </c>
      <c r="U147" s="5">
        <v>28.4</v>
      </c>
      <c r="V147" t="s">
        <v>647</v>
      </c>
      <c r="W147" s="2"/>
      <c r="X147" s="53"/>
      <c r="Y147" s="53"/>
      <c r="Z147" s="53"/>
      <c r="AC147" s="54" t="s">
        <v>605</v>
      </c>
      <c r="AD147">
        <v>121</v>
      </c>
      <c r="AE147">
        <v>20</v>
      </c>
      <c r="AF147" s="140" t="s">
        <v>525</v>
      </c>
      <c r="AG147">
        <v>114</v>
      </c>
      <c r="AH147">
        <v>36</v>
      </c>
      <c r="AO147" s="54" t="s">
        <v>313</v>
      </c>
      <c r="AP147">
        <v>339</v>
      </c>
      <c r="AQ147">
        <v>66</v>
      </c>
      <c r="AR147" s="2" t="s">
        <v>167</v>
      </c>
      <c r="AS147" t="s">
        <v>66</v>
      </c>
      <c r="AT147" t="s">
        <v>114</v>
      </c>
      <c r="AU147" s="72"/>
      <c r="AV147" s="100"/>
      <c r="AW147">
        <v>-65.5</v>
      </c>
      <c r="BC147" s="53"/>
    </row>
    <row r="148" spans="1:55">
      <c r="A148" s="116" t="s">
        <v>648</v>
      </c>
      <c r="K148" s="2"/>
      <c r="W148" s="2"/>
      <c r="AO148" s="2"/>
      <c r="AU148" s="145"/>
      <c r="AV148" s="146"/>
      <c r="BC148" s="53"/>
    </row>
    <row r="149" spans="1:55">
      <c r="A149" t="s">
        <v>649</v>
      </c>
      <c r="B149">
        <v>7.25</v>
      </c>
      <c r="C149" t="s">
        <v>650</v>
      </c>
      <c r="E149">
        <v>1.4390000000000001</v>
      </c>
      <c r="F149">
        <v>43</v>
      </c>
      <c r="G149" t="s">
        <v>651</v>
      </c>
      <c r="I149">
        <v>64.7</v>
      </c>
      <c r="J149">
        <v>41.5</v>
      </c>
      <c r="K149" s="2"/>
      <c r="P149" s="2">
        <v>4</v>
      </c>
      <c r="V149" t="s">
        <v>652</v>
      </c>
      <c r="AC149" s="139" t="s">
        <v>524</v>
      </c>
      <c r="AD149">
        <v>166</v>
      </c>
      <c r="AE149">
        <v>-6</v>
      </c>
      <c r="AF149" s="140" t="s">
        <v>525</v>
      </c>
      <c r="AG149">
        <v>168.4</v>
      </c>
      <c r="AH149">
        <v>34.6</v>
      </c>
      <c r="AI149" s="2" t="s">
        <v>653</v>
      </c>
      <c r="AJ149">
        <v>128</v>
      </c>
      <c r="AK149">
        <v>4</v>
      </c>
      <c r="AL149" s="140" t="s">
        <v>525</v>
      </c>
      <c r="AM149">
        <v>118.9</v>
      </c>
      <c r="AN149">
        <v>40</v>
      </c>
      <c r="AO149" s="54" t="s">
        <v>654</v>
      </c>
      <c r="AP149">
        <v>72</v>
      </c>
      <c r="AQ149">
        <v>19</v>
      </c>
      <c r="AR149" s="2" t="s">
        <v>105</v>
      </c>
      <c r="AS149" t="s">
        <v>66</v>
      </c>
      <c r="AT149" t="s">
        <v>88</v>
      </c>
      <c r="AU149" s="59"/>
      <c r="AV149" s="60"/>
      <c r="AW149" s="7"/>
      <c r="AX149">
        <v>73.099999999999994</v>
      </c>
      <c r="AY149">
        <v>3.4</v>
      </c>
      <c r="AZ149">
        <v>-46.6</v>
      </c>
      <c r="BA149">
        <v>69.900000000000006</v>
      </c>
      <c r="BB149">
        <v>-70.7</v>
      </c>
      <c r="BC149" s="53"/>
    </row>
    <row r="150" spans="1:55">
      <c r="A150" t="s">
        <v>655</v>
      </c>
      <c r="B150">
        <v>7.25</v>
      </c>
      <c r="D150">
        <v>300</v>
      </c>
      <c r="E150">
        <v>1.18</v>
      </c>
      <c r="F150">
        <v>39</v>
      </c>
      <c r="G150" s="58" t="s">
        <v>656</v>
      </c>
      <c r="I150">
        <v>64.7</v>
      </c>
      <c r="J150">
        <v>41.5</v>
      </c>
      <c r="K150" s="73"/>
      <c r="AC150" s="139"/>
      <c r="AF150" s="140"/>
      <c r="AG150"/>
      <c r="AH150"/>
      <c r="AL150" s="140"/>
      <c r="AO150" s="54"/>
      <c r="AR150" s="2" t="s">
        <v>299</v>
      </c>
      <c r="AT150" t="s">
        <v>181</v>
      </c>
      <c r="AU150" s="59"/>
      <c r="AV150" s="60"/>
      <c r="AW150" s="7"/>
      <c r="BC150" s="53"/>
    </row>
    <row r="151" spans="1:55">
      <c r="A151" t="s">
        <v>657</v>
      </c>
      <c r="B151">
        <v>7.9</v>
      </c>
      <c r="D151" t="s">
        <v>658</v>
      </c>
      <c r="E151">
        <v>0.68</v>
      </c>
      <c r="F151">
        <v>23.1</v>
      </c>
      <c r="G151" t="s">
        <v>659</v>
      </c>
      <c r="I151">
        <v>64.7</v>
      </c>
      <c r="J151">
        <v>41.5</v>
      </c>
      <c r="P151" s="2">
        <v>4</v>
      </c>
      <c r="Q151" s="2" t="s">
        <v>660</v>
      </c>
      <c r="R151">
        <v>8</v>
      </c>
      <c r="S151">
        <v>-54</v>
      </c>
      <c r="T151" s="5">
        <v>92.2</v>
      </c>
      <c r="U151" s="5">
        <v>-68.7</v>
      </c>
      <c r="V151" t="s">
        <v>661</v>
      </c>
      <c r="W151" s="2" t="s">
        <v>662</v>
      </c>
      <c r="X151" s="53">
        <v>222</v>
      </c>
      <c r="Y151" s="53">
        <v>-33</v>
      </c>
      <c r="Z151" s="53" t="s">
        <v>63</v>
      </c>
      <c r="AA151" s="3">
        <v>206.8</v>
      </c>
      <c r="AB151" s="3">
        <v>-11.2</v>
      </c>
      <c r="AO151" s="2" t="s">
        <v>663</v>
      </c>
      <c r="AP151">
        <v>304</v>
      </c>
      <c r="AQ151">
        <v>38</v>
      </c>
      <c r="AR151" s="2" t="s">
        <v>113</v>
      </c>
      <c r="AS151" t="s">
        <v>87</v>
      </c>
      <c r="AT151" t="s">
        <v>67</v>
      </c>
      <c r="AU151" s="59"/>
      <c r="AV151" s="60"/>
      <c r="AW151">
        <v>72.8</v>
      </c>
      <c r="BC151" s="53"/>
    </row>
    <row r="152" spans="1:55">
      <c r="A152" t="s">
        <v>664</v>
      </c>
      <c r="B152">
        <v>7.9</v>
      </c>
      <c r="D152">
        <v>410</v>
      </c>
      <c r="E152">
        <v>1.0549999999999999</v>
      </c>
      <c r="F152">
        <v>24.5</v>
      </c>
      <c r="G152" t="s">
        <v>665</v>
      </c>
      <c r="I152">
        <v>64.7</v>
      </c>
      <c r="J152">
        <v>41.5</v>
      </c>
      <c r="K152" t="s">
        <v>85</v>
      </c>
      <c r="L152">
        <v>121</v>
      </c>
      <c r="M152">
        <v>36</v>
      </c>
      <c r="N152">
        <v>79</v>
      </c>
      <c r="O152">
        <v>62.4</v>
      </c>
      <c r="Q152" s="73" t="s">
        <v>417</v>
      </c>
      <c r="R152">
        <v>229</v>
      </c>
      <c r="S152">
        <v>46</v>
      </c>
      <c r="T152" s="3">
        <v>271.39999999999998</v>
      </c>
      <c r="U152" s="3">
        <v>41.6</v>
      </c>
      <c r="V152" t="s">
        <v>121</v>
      </c>
      <c r="W152" s="2"/>
      <c r="X152" s="53"/>
      <c r="Y152" s="53"/>
      <c r="Z152" s="53"/>
      <c r="AC152" s="2" t="s">
        <v>666</v>
      </c>
      <c r="AD152">
        <v>134</v>
      </c>
      <c r="AE152">
        <v>58</v>
      </c>
      <c r="AF152" t="s">
        <v>549</v>
      </c>
      <c r="AG152">
        <v>19.2</v>
      </c>
      <c r="AH152">
        <v>74.5</v>
      </c>
      <c r="AI152" s="2" t="s">
        <v>667</v>
      </c>
      <c r="AJ152">
        <v>266</v>
      </c>
      <c r="AK152">
        <v>-17</v>
      </c>
      <c r="AL152" t="s">
        <v>549</v>
      </c>
      <c r="AM152">
        <v>249</v>
      </c>
      <c r="AN152">
        <v>-26.7</v>
      </c>
      <c r="AO152" s="2" t="s">
        <v>668</v>
      </c>
      <c r="AR152" s="2" t="s">
        <v>137</v>
      </c>
      <c r="AT152" t="s">
        <v>138</v>
      </c>
      <c r="AU152" s="59"/>
      <c r="AV152" s="60"/>
      <c r="BC152" s="53"/>
    </row>
    <row r="153" spans="1:55">
      <c r="A153" t="s">
        <v>669</v>
      </c>
      <c r="B153">
        <v>8.89</v>
      </c>
      <c r="C153" t="s">
        <v>650</v>
      </c>
      <c r="E153">
        <v>0.28999999999999998</v>
      </c>
      <c r="F153">
        <v>11.3</v>
      </c>
      <c r="G153" t="s">
        <v>670</v>
      </c>
      <c r="I153">
        <v>64.7</v>
      </c>
      <c r="J153">
        <v>41.5</v>
      </c>
      <c r="K153" s="2"/>
      <c r="P153" s="2">
        <v>5</v>
      </c>
      <c r="W153" s="2"/>
      <c r="AC153" s="139" t="s">
        <v>76</v>
      </c>
      <c r="AD153">
        <v>59</v>
      </c>
      <c r="AE153">
        <v>-36</v>
      </c>
      <c r="AF153" t="s">
        <v>549</v>
      </c>
      <c r="AG153">
        <v>86.9</v>
      </c>
      <c r="AH153">
        <v>-29.6</v>
      </c>
      <c r="AO153" s="2"/>
      <c r="AR153" s="2" t="s">
        <v>39</v>
      </c>
      <c r="AT153" t="s">
        <v>671</v>
      </c>
      <c r="AU153" s="70"/>
      <c r="AV153" s="60"/>
      <c r="AW153" s="7"/>
      <c r="BC153" s="53"/>
    </row>
    <row r="154" spans="1:55">
      <c r="A154" t="s">
        <v>672</v>
      </c>
      <c r="B154">
        <v>8.89</v>
      </c>
      <c r="D154">
        <v>410</v>
      </c>
      <c r="E154">
        <v>0.43</v>
      </c>
      <c r="F154">
        <v>7.3</v>
      </c>
      <c r="G154" t="s">
        <v>673</v>
      </c>
      <c r="I154">
        <v>64.7</v>
      </c>
      <c r="J154">
        <v>41.5</v>
      </c>
      <c r="K154" s="73"/>
      <c r="P154" s="2">
        <v>1.7</v>
      </c>
      <c r="Q154" t="s">
        <v>581</v>
      </c>
      <c r="R154">
        <v>58</v>
      </c>
      <c r="S154">
        <v>-14</v>
      </c>
      <c r="T154" s="6">
        <v>69.2</v>
      </c>
      <c r="U154" s="6">
        <v>-14.8</v>
      </c>
      <c r="V154" t="s">
        <v>674</v>
      </c>
      <c r="W154" s="54" t="s">
        <v>158</v>
      </c>
      <c r="X154">
        <v>180</v>
      </c>
      <c r="Y154">
        <v>-48</v>
      </c>
      <c r="Z154" t="s">
        <v>63</v>
      </c>
      <c r="AA154" s="3">
        <v>171.5</v>
      </c>
      <c r="AB154" s="3">
        <v>-9</v>
      </c>
      <c r="AC154" s="139" t="s">
        <v>675</v>
      </c>
      <c r="AD154">
        <v>147</v>
      </c>
      <c r="AE154">
        <v>-34</v>
      </c>
      <c r="AF154" t="s">
        <v>96</v>
      </c>
      <c r="AG154">
        <v>148.30000000000001</v>
      </c>
      <c r="AH154">
        <v>7.2</v>
      </c>
      <c r="AO154" s="54" t="s">
        <v>414</v>
      </c>
      <c r="AP154">
        <v>307</v>
      </c>
      <c r="AQ154">
        <v>-9</v>
      </c>
      <c r="AR154" s="2" t="s">
        <v>105</v>
      </c>
      <c r="AS154" t="s">
        <v>66</v>
      </c>
      <c r="AT154" t="s">
        <v>88</v>
      </c>
      <c r="AU154" s="59"/>
      <c r="AV154" s="60"/>
      <c r="AX154">
        <v>68.400000000000006</v>
      </c>
      <c r="AY154">
        <v>43.7</v>
      </c>
      <c r="AZ154">
        <v>-36.5</v>
      </c>
      <c r="BA154">
        <v>78.099999999999994</v>
      </c>
      <c r="BB154">
        <v>-39.5</v>
      </c>
      <c r="BC154" s="53"/>
    </row>
    <row r="155" spans="1:55">
      <c r="A155" t="s">
        <v>676</v>
      </c>
      <c r="B155">
        <v>9.4</v>
      </c>
      <c r="C155" t="s">
        <v>650</v>
      </c>
      <c r="D155" t="s">
        <v>658</v>
      </c>
      <c r="E155">
        <v>0.5</v>
      </c>
      <c r="F155">
        <v>21.7</v>
      </c>
      <c r="G155" t="s">
        <v>677</v>
      </c>
      <c r="I155">
        <v>69.7</v>
      </c>
      <c r="J155">
        <v>39</v>
      </c>
      <c r="P155" s="2">
        <v>8</v>
      </c>
      <c r="Q155" s="63" t="s">
        <v>654</v>
      </c>
      <c r="R155" s="7">
        <v>321</v>
      </c>
      <c r="S155" s="7">
        <v>-48</v>
      </c>
      <c r="T155" s="5">
        <v>256.3</v>
      </c>
      <c r="U155" s="5">
        <v>-77.5</v>
      </c>
      <c r="W155" s="139" t="s">
        <v>76</v>
      </c>
      <c r="X155">
        <v>233</v>
      </c>
      <c r="Y155">
        <v>4</v>
      </c>
      <c r="Z155" t="s">
        <v>63</v>
      </c>
      <c r="AA155" s="3">
        <v>239.1</v>
      </c>
      <c r="AB155" s="3">
        <v>13.6</v>
      </c>
      <c r="AO155" s="54" t="s">
        <v>678</v>
      </c>
      <c r="AP155">
        <v>111</v>
      </c>
      <c r="AQ155">
        <v>-41</v>
      </c>
      <c r="AR155" s="2" t="s">
        <v>65</v>
      </c>
      <c r="AS155" t="s">
        <v>66</v>
      </c>
      <c r="AT155" t="s">
        <v>67</v>
      </c>
      <c r="AU155" s="59"/>
      <c r="AV155" s="69"/>
      <c r="AX155">
        <v>68</v>
      </c>
      <c r="AY155">
        <v>359.8</v>
      </c>
      <c r="AZ155">
        <v>-22.6</v>
      </c>
      <c r="BA155">
        <v>16</v>
      </c>
      <c r="BB155">
        <v>-57.6</v>
      </c>
      <c r="BC155" s="53"/>
    </row>
    <row r="156" spans="1:55">
      <c r="A156" t="s">
        <v>679</v>
      </c>
      <c r="B156">
        <v>9.4</v>
      </c>
      <c r="D156">
        <v>410</v>
      </c>
      <c r="E156">
        <v>0.4753</v>
      </c>
      <c r="F156">
        <v>18.399999999999999</v>
      </c>
      <c r="G156" t="s">
        <v>680</v>
      </c>
      <c r="I156">
        <v>69.7</v>
      </c>
      <c r="J156">
        <v>39</v>
      </c>
      <c r="K156" t="s">
        <v>243</v>
      </c>
      <c r="L156">
        <v>238</v>
      </c>
      <c r="M156">
        <v>-18</v>
      </c>
      <c r="N156" s="3">
        <v>229.4</v>
      </c>
      <c r="O156" s="3">
        <v>-6.8</v>
      </c>
      <c r="P156" s="2">
        <v>1.4</v>
      </c>
      <c r="Q156" s="63"/>
      <c r="R156" s="7"/>
      <c r="S156" s="7"/>
      <c r="V156" t="s">
        <v>121</v>
      </c>
      <c r="W156" s="144"/>
      <c r="AC156" s="2" t="s">
        <v>336</v>
      </c>
      <c r="AD156">
        <v>100</v>
      </c>
      <c r="AE156">
        <v>-40</v>
      </c>
      <c r="AF156" t="s">
        <v>96</v>
      </c>
      <c r="AG156">
        <v>116.5</v>
      </c>
      <c r="AH156">
        <v>-14.9</v>
      </c>
      <c r="AO156" s="54" t="s">
        <v>681</v>
      </c>
      <c r="AP156">
        <v>37</v>
      </c>
      <c r="AQ156">
        <v>28</v>
      </c>
      <c r="AR156" s="2" t="s">
        <v>105</v>
      </c>
      <c r="AS156" t="s">
        <v>87</v>
      </c>
      <c r="AT156" t="s">
        <v>88</v>
      </c>
      <c r="AU156" s="59"/>
      <c r="AV156" s="69"/>
      <c r="AX156">
        <v>69.099999999999994</v>
      </c>
      <c r="AY156">
        <v>9.1</v>
      </c>
      <c r="AZ156">
        <v>-59</v>
      </c>
      <c r="BA156">
        <v>106.7</v>
      </c>
      <c r="BB156">
        <v>-71.5</v>
      </c>
      <c r="BC156" s="53"/>
    </row>
    <row r="157" spans="1:55">
      <c r="A157" t="s">
        <v>682</v>
      </c>
      <c r="B157">
        <v>9.9700000000000006</v>
      </c>
      <c r="D157" t="s">
        <v>658</v>
      </c>
      <c r="E157">
        <v>1.91</v>
      </c>
      <c r="F157">
        <v>59.2</v>
      </c>
      <c r="G157" t="s">
        <v>683</v>
      </c>
      <c r="I157">
        <v>59.7</v>
      </c>
      <c r="J157">
        <v>44</v>
      </c>
      <c r="K157" s="2"/>
      <c r="P157" s="2">
        <v>2.5</v>
      </c>
      <c r="Q157" s="2" t="s">
        <v>684</v>
      </c>
      <c r="R157">
        <v>195</v>
      </c>
      <c r="S157">
        <v>-7</v>
      </c>
      <c r="T157" s="5">
        <v>199.9</v>
      </c>
      <c r="U157" s="5">
        <v>23.4</v>
      </c>
      <c r="V157" t="s">
        <v>685</v>
      </c>
      <c r="AC157" s="139" t="s">
        <v>76</v>
      </c>
      <c r="AD157">
        <v>91</v>
      </c>
      <c r="AE157">
        <v>-2</v>
      </c>
      <c r="AF157" t="s">
        <v>549</v>
      </c>
      <c r="AG157">
        <v>84.7</v>
      </c>
      <c r="AH157">
        <v>19.600000000000001</v>
      </c>
      <c r="AO157" s="54" t="s">
        <v>78</v>
      </c>
      <c r="AP157">
        <v>294</v>
      </c>
      <c r="AQ157">
        <v>8</v>
      </c>
      <c r="AR157" s="2" t="s">
        <v>159</v>
      </c>
      <c r="AS157" t="s">
        <v>66</v>
      </c>
      <c r="AT157" t="s">
        <v>114</v>
      </c>
      <c r="AU157" s="113"/>
      <c r="AV157" s="147"/>
      <c r="AX157">
        <v>-87.4</v>
      </c>
      <c r="AY157">
        <f>17.8+180</f>
        <v>197.8</v>
      </c>
      <c r="AZ157">
        <v>37.5</v>
      </c>
      <c r="BA157">
        <v>243.7</v>
      </c>
      <c r="BB157">
        <v>53.7</v>
      </c>
      <c r="BC157" s="53"/>
    </row>
    <row r="158" spans="1:55">
      <c r="A158" t="s">
        <v>686</v>
      </c>
      <c r="B158">
        <v>9.9700000000000006</v>
      </c>
      <c r="D158" t="s">
        <v>687</v>
      </c>
      <c r="E158">
        <v>1.7270000000000001</v>
      </c>
      <c r="F158">
        <v>58.5</v>
      </c>
      <c r="G158" t="s">
        <v>688</v>
      </c>
      <c r="I158">
        <v>59.7</v>
      </c>
      <c r="J158">
        <v>44</v>
      </c>
      <c r="K158" s="2" t="s">
        <v>318</v>
      </c>
      <c r="L158">
        <v>44</v>
      </c>
      <c r="M158">
        <v>77</v>
      </c>
      <c r="N158">
        <v>346.4</v>
      </c>
      <c r="O158">
        <v>41.2</v>
      </c>
      <c r="Q158" s="73"/>
      <c r="V158" t="s">
        <v>689</v>
      </c>
      <c r="AC158" s="139"/>
      <c r="AG158"/>
      <c r="AH158"/>
      <c r="AI158" s="2" t="s">
        <v>312</v>
      </c>
      <c r="AJ158">
        <v>38</v>
      </c>
      <c r="AK158">
        <v>13</v>
      </c>
      <c r="AL158" t="s">
        <v>549</v>
      </c>
      <c r="AM158">
        <v>35.1</v>
      </c>
      <c r="AN158">
        <v>-5.0999999999999996</v>
      </c>
      <c r="AO158" s="54" t="s">
        <v>690</v>
      </c>
      <c r="AP158">
        <v>242</v>
      </c>
      <c r="AQ158">
        <v>-40</v>
      </c>
      <c r="AR158" s="2" t="s">
        <v>159</v>
      </c>
      <c r="AS158" t="s">
        <v>87</v>
      </c>
      <c r="AT158" t="s">
        <v>114</v>
      </c>
      <c r="AU158" s="113"/>
      <c r="AV158" s="147"/>
      <c r="AW158" s="7"/>
      <c r="AX158">
        <v>-87.1</v>
      </c>
      <c r="AY158">
        <f>18.4+180</f>
        <v>198.4</v>
      </c>
      <c r="AZ158">
        <v>40.799999999999997</v>
      </c>
      <c r="BA158">
        <v>249.1</v>
      </c>
      <c r="BB158">
        <v>54.8</v>
      </c>
      <c r="BC158" s="53"/>
    </row>
    <row r="159" spans="1:55">
      <c r="A159" t="s">
        <v>691</v>
      </c>
      <c r="B159">
        <v>10.44</v>
      </c>
      <c r="D159" t="s">
        <v>658</v>
      </c>
      <c r="E159">
        <v>1.47</v>
      </c>
      <c r="F159">
        <v>36.1</v>
      </c>
      <c r="G159" t="s">
        <v>692</v>
      </c>
      <c r="I159">
        <v>64.7</v>
      </c>
      <c r="J159">
        <v>41.5</v>
      </c>
      <c r="K159" s="2"/>
      <c r="P159" s="2">
        <v>10</v>
      </c>
      <c r="W159" s="2"/>
      <c r="AC159" s="139" t="s">
        <v>92</v>
      </c>
      <c r="AD159">
        <v>128</v>
      </c>
      <c r="AE159">
        <v>-3</v>
      </c>
      <c r="AF159" s="140" t="s">
        <v>525</v>
      </c>
      <c r="AG159">
        <v>122.1</v>
      </c>
      <c r="AH159">
        <v>33.5</v>
      </c>
      <c r="AI159" s="2" t="s">
        <v>693</v>
      </c>
      <c r="AJ159">
        <v>339</v>
      </c>
      <c r="AK159">
        <v>43</v>
      </c>
      <c r="AL159" s="61" t="s">
        <v>534</v>
      </c>
      <c r="AM159">
        <v>337.8</v>
      </c>
      <c r="AN159">
        <v>1.6</v>
      </c>
      <c r="AO159" s="54" t="s">
        <v>694</v>
      </c>
      <c r="AP159">
        <v>272</v>
      </c>
      <c r="AQ159">
        <v>-21</v>
      </c>
      <c r="AR159" s="2" t="s">
        <v>105</v>
      </c>
      <c r="AS159" t="s">
        <v>66</v>
      </c>
      <c r="AT159" t="s">
        <v>123</v>
      </c>
      <c r="AU159" s="72"/>
      <c r="AV159" s="80"/>
      <c r="AW159" s="7"/>
      <c r="AX159">
        <v>-89.1</v>
      </c>
      <c r="AY159">
        <f>19.6+180</f>
        <v>199.6</v>
      </c>
      <c r="AZ159">
        <v>38.299999999999997</v>
      </c>
      <c r="BA159">
        <v>244.1</v>
      </c>
      <c r="BB159">
        <v>56.4</v>
      </c>
      <c r="BC159" s="53"/>
    </row>
    <row r="160" spans="1:55">
      <c r="A160" t="s">
        <v>695</v>
      </c>
      <c r="B160">
        <v>10.44</v>
      </c>
      <c r="D160">
        <v>560</v>
      </c>
      <c r="E160">
        <v>1.5980000000000001</v>
      </c>
      <c r="F160">
        <v>39</v>
      </c>
      <c r="G160" t="s">
        <v>696</v>
      </c>
      <c r="I160">
        <v>64.7</v>
      </c>
      <c r="J160">
        <v>41.5</v>
      </c>
      <c r="K160" s="2" t="s">
        <v>336</v>
      </c>
      <c r="L160">
        <v>73</v>
      </c>
      <c r="M160">
        <v>28</v>
      </c>
      <c r="N160">
        <v>50.8</v>
      </c>
      <c r="O160">
        <v>25.9</v>
      </c>
      <c r="V160" t="s">
        <v>697</v>
      </c>
      <c r="W160" s="139" t="s">
        <v>698</v>
      </c>
      <c r="X160">
        <v>244</v>
      </c>
      <c r="Y160">
        <v>-21</v>
      </c>
      <c r="Z160" t="s">
        <v>63</v>
      </c>
      <c r="AA160">
        <v>229.9</v>
      </c>
      <c r="AB160">
        <v>-15.1</v>
      </c>
      <c r="AF160" s="7"/>
      <c r="AL160" s="61"/>
      <c r="AO160" s="54" t="s">
        <v>526</v>
      </c>
      <c r="AP160">
        <v>322</v>
      </c>
      <c r="AQ160">
        <v>25</v>
      </c>
      <c r="AR160" s="2" t="s">
        <v>159</v>
      </c>
      <c r="AS160" t="s">
        <v>87</v>
      </c>
      <c r="AT160" t="s">
        <v>123</v>
      </c>
      <c r="AU160" s="72"/>
      <c r="AV160" s="80"/>
      <c r="AW160" s="7"/>
      <c r="AX160">
        <v>-83.1</v>
      </c>
      <c r="AY160">
        <f>27.4+180</f>
        <v>207.4</v>
      </c>
      <c r="AZ160">
        <v>41.8</v>
      </c>
      <c r="BA160">
        <v>254.6</v>
      </c>
      <c r="BB160">
        <v>53</v>
      </c>
      <c r="BC160" s="53"/>
    </row>
    <row r="161" spans="1:55">
      <c r="A161" t="s">
        <v>699</v>
      </c>
      <c r="B161">
        <v>0</v>
      </c>
      <c r="C161" t="s">
        <v>650</v>
      </c>
      <c r="E161">
        <v>0.39</v>
      </c>
      <c r="F161">
        <v>14.9</v>
      </c>
      <c r="G161" t="s">
        <v>700</v>
      </c>
      <c r="I161">
        <v>62.7</v>
      </c>
      <c r="J161">
        <v>30</v>
      </c>
      <c r="K161" s="2"/>
      <c r="P161" s="2">
        <v>2.5</v>
      </c>
      <c r="W161" s="54" t="s">
        <v>701</v>
      </c>
      <c r="X161">
        <v>244</v>
      </c>
      <c r="Y161">
        <v>-5</v>
      </c>
      <c r="Z161" t="s">
        <v>63</v>
      </c>
      <c r="AA161" s="3">
        <v>241.3</v>
      </c>
      <c r="AB161" s="3">
        <v>-5</v>
      </c>
      <c r="AC161" s="139" t="s">
        <v>85</v>
      </c>
      <c r="AD161">
        <v>265</v>
      </c>
      <c r="AE161">
        <v>-14</v>
      </c>
      <c r="AF161" t="s">
        <v>549</v>
      </c>
      <c r="AG161">
        <v>255.1</v>
      </c>
      <c r="AH161">
        <v>-23.2</v>
      </c>
      <c r="AO161" s="2"/>
      <c r="AR161" s="2" t="s">
        <v>63</v>
      </c>
      <c r="AT161" t="s">
        <v>181</v>
      </c>
      <c r="AU161" s="70"/>
      <c r="AV161" s="60"/>
      <c r="AW161" s="7"/>
      <c r="BC161" s="53"/>
    </row>
    <row r="162" spans="1:55">
      <c r="A162" t="s">
        <v>702</v>
      </c>
      <c r="B162">
        <v>0</v>
      </c>
      <c r="D162">
        <v>500</v>
      </c>
      <c r="E162">
        <v>0.46920000000000001</v>
      </c>
      <c r="F162">
        <v>13.7</v>
      </c>
      <c r="G162" s="58" t="s">
        <v>703</v>
      </c>
      <c r="I162">
        <v>62.7</v>
      </c>
      <c r="J162">
        <v>30</v>
      </c>
      <c r="K162" s="2" t="s">
        <v>473</v>
      </c>
      <c r="L162">
        <v>120</v>
      </c>
      <c r="M162">
        <v>60</v>
      </c>
      <c r="N162">
        <v>48.4</v>
      </c>
      <c r="O162">
        <v>73.8</v>
      </c>
      <c r="W162" s="54"/>
      <c r="AC162" s="139"/>
      <c r="AG162"/>
      <c r="AH162"/>
      <c r="AO162" s="2"/>
      <c r="AR162" s="2" t="s">
        <v>299</v>
      </c>
      <c r="AT162" t="s">
        <v>181</v>
      </c>
      <c r="AU162" s="70"/>
      <c r="AV162" s="60"/>
      <c r="AW162" s="7"/>
      <c r="BC162" s="53"/>
    </row>
    <row r="163" spans="1:55">
      <c r="A163" t="s">
        <v>704</v>
      </c>
      <c r="B163">
        <v>0.88</v>
      </c>
      <c r="C163" t="s">
        <v>650</v>
      </c>
      <c r="D163" t="s">
        <v>658</v>
      </c>
      <c r="E163">
        <v>0.77</v>
      </c>
      <c r="F163">
        <v>34.1</v>
      </c>
      <c r="G163" t="s">
        <v>705</v>
      </c>
      <c r="I163">
        <v>62.7</v>
      </c>
      <c r="J163">
        <v>30</v>
      </c>
      <c r="K163" s="2"/>
      <c r="P163" s="2">
        <v>2</v>
      </c>
      <c r="V163" s="63" t="s">
        <v>706</v>
      </c>
      <c r="W163" s="2" t="s">
        <v>707</v>
      </c>
      <c r="X163">
        <v>209</v>
      </c>
      <c r="Y163">
        <v>-34</v>
      </c>
      <c r="Z163" t="s">
        <v>63</v>
      </c>
      <c r="AA163" s="3">
        <v>198.2</v>
      </c>
      <c r="AB163" s="3">
        <v>-14.7</v>
      </c>
      <c r="AC163" s="139" t="s">
        <v>133</v>
      </c>
      <c r="AD163">
        <v>286</v>
      </c>
      <c r="AE163">
        <v>-2</v>
      </c>
      <c r="AF163" t="s">
        <v>549</v>
      </c>
      <c r="AG163">
        <v>281.10000000000002</v>
      </c>
      <c r="AH163">
        <v>-21.9</v>
      </c>
      <c r="AI163" s="2" t="s">
        <v>708</v>
      </c>
      <c r="AJ163">
        <v>332</v>
      </c>
      <c r="AK163">
        <v>20</v>
      </c>
      <c r="AL163" s="61" t="s">
        <v>534</v>
      </c>
      <c r="AM163">
        <v>332</v>
      </c>
      <c r="AN163">
        <v>-10</v>
      </c>
      <c r="AO163" s="2"/>
      <c r="AR163" s="2" t="s">
        <v>39</v>
      </c>
      <c r="AT163" t="s">
        <v>181</v>
      </c>
      <c r="AU163" s="70"/>
      <c r="AV163" s="60"/>
      <c r="AW163" s="7"/>
      <c r="BC163" s="53"/>
    </row>
    <row r="164" spans="1:55">
      <c r="A164" t="s">
        <v>709</v>
      </c>
      <c r="B164">
        <v>0.88</v>
      </c>
      <c r="D164">
        <v>530</v>
      </c>
      <c r="E164">
        <v>0.77239999999999998</v>
      </c>
      <c r="F164">
        <v>32.1</v>
      </c>
      <c r="G164" s="58" t="s">
        <v>710</v>
      </c>
      <c r="I164">
        <v>62.7</v>
      </c>
      <c r="J164">
        <v>30</v>
      </c>
      <c r="K164" s="2"/>
      <c r="P164" s="2">
        <v>1.2</v>
      </c>
      <c r="V164" s="63"/>
      <c r="W164" s="2"/>
      <c r="AC164" s="139" t="s">
        <v>711</v>
      </c>
      <c r="AD164">
        <v>133</v>
      </c>
      <c r="AE164">
        <v>44</v>
      </c>
      <c r="AF164" t="s">
        <v>549</v>
      </c>
      <c r="AG164">
        <v>107.3</v>
      </c>
      <c r="AH164">
        <v>70.099999999999994</v>
      </c>
      <c r="AL164" s="61"/>
      <c r="AO164" s="2"/>
      <c r="AR164" s="2" t="s">
        <v>299</v>
      </c>
      <c r="AT164" t="s">
        <v>181</v>
      </c>
      <c r="AU164" s="70"/>
      <c r="AV164" s="60"/>
      <c r="AW164" s="7"/>
      <c r="BC164" s="53"/>
    </row>
    <row r="165" spans="1:55">
      <c r="A165" t="s">
        <v>712</v>
      </c>
      <c r="B165">
        <v>1.43</v>
      </c>
      <c r="D165" t="s">
        <v>658</v>
      </c>
      <c r="E165">
        <v>0.16</v>
      </c>
      <c r="F165">
        <v>9.6</v>
      </c>
      <c r="G165" t="s">
        <v>713</v>
      </c>
      <c r="I165">
        <v>62.7</v>
      </c>
      <c r="J165">
        <v>30</v>
      </c>
      <c r="K165" s="2"/>
      <c r="P165" s="2">
        <v>1.4</v>
      </c>
      <c r="V165" t="s">
        <v>193</v>
      </c>
      <c r="W165" s="2"/>
      <c r="AC165" s="139" t="s">
        <v>92</v>
      </c>
      <c r="AD165">
        <v>284</v>
      </c>
      <c r="AE165">
        <v>4</v>
      </c>
      <c r="AF165" t="s">
        <v>549</v>
      </c>
      <c r="AG165">
        <v>281.60000000000002</v>
      </c>
      <c r="AH165">
        <v>-15.6</v>
      </c>
      <c r="AI165" s="2" t="s">
        <v>693</v>
      </c>
      <c r="AJ165">
        <v>341</v>
      </c>
      <c r="AK165">
        <v>21</v>
      </c>
      <c r="AL165" s="61" t="s">
        <v>534</v>
      </c>
      <c r="AM165">
        <v>340.5</v>
      </c>
      <c r="AN165">
        <v>-8.6999999999999993</v>
      </c>
      <c r="AO165" s="54" t="s">
        <v>313</v>
      </c>
      <c r="AP165">
        <v>217</v>
      </c>
      <c r="AQ165">
        <v>-28</v>
      </c>
      <c r="AR165" s="2" t="s">
        <v>65</v>
      </c>
      <c r="AS165" t="s">
        <v>66</v>
      </c>
      <c r="AT165" t="s">
        <v>67</v>
      </c>
      <c r="AU165" s="70"/>
      <c r="AV165" s="69"/>
      <c r="AW165" s="7"/>
      <c r="AX165">
        <v>69.099999999999994</v>
      </c>
      <c r="AY165">
        <v>9.1</v>
      </c>
      <c r="AZ165">
        <v>-59</v>
      </c>
      <c r="BA165">
        <v>75.5</v>
      </c>
      <c r="BB165">
        <v>-71.7</v>
      </c>
      <c r="BC165" s="53"/>
    </row>
    <row r="166" spans="1:55">
      <c r="A166" t="s">
        <v>714</v>
      </c>
      <c r="B166">
        <v>1.43</v>
      </c>
      <c r="D166">
        <v>410</v>
      </c>
      <c r="E166">
        <v>0.11749999999999999</v>
      </c>
      <c r="F166">
        <v>9.6</v>
      </c>
      <c r="G166" s="58" t="s">
        <v>715</v>
      </c>
      <c r="I166">
        <v>62.7</v>
      </c>
      <c r="J166">
        <v>30</v>
      </c>
      <c r="K166" s="2" t="s">
        <v>716</v>
      </c>
      <c r="L166">
        <v>179</v>
      </c>
      <c r="M166">
        <v>73</v>
      </c>
      <c r="N166">
        <v>305.39999999999998</v>
      </c>
      <c r="O166">
        <v>73.599999999999994</v>
      </c>
      <c r="V166" t="s">
        <v>121</v>
      </c>
      <c r="W166" s="2"/>
      <c r="AC166" s="139"/>
      <c r="AG166"/>
      <c r="AH166"/>
      <c r="AL166" s="61"/>
      <c r="AO166" s="54"/>
      <c r="AR166" s="2" t="s">
        <v>299</v>
      </c>
      <c r="AT166" t="s">
        <v>181</v>
      </c>
      <c r="AU166" s="70"/>
      <c r="AV166" s="69"/>
      <c r="AW166" s="7"/>
      <c r="BC166" s="53"/>
    </row>
    <row r="167" spans="1:55" ht="15.75" thickBot="1">
      <c r="A167" t="s">
        <v>717</v>
      </c>
      <c r="B167">
        <v>2.1</v>
      </c>
      <c r="D167" t="s">
        <v>658</v>
      </c>
      <c r="E167">
        <v>0.19</v>
      </c>
      <c r="F167">
        <v>11.8</v>
      </c>
      <c r="G167" t="s">
        <v>718</v>
      </c>
      <c r="I167">
        <v>62.7</v>
      </c>
      <c r="J167">
        <v>30</v>
      </c>
      <c r="K167" s="2"/>
      <c r="P167" s="2">
        <v>1.7</v>
      </c>
      <c r="V167" t="s">
        <v>719</v>
      </c>
      <c r="W167" s="2"/>
      <c r="AC167" s="139" t="s">
        <v>720</v>
      </c>
      <c r="AD167">
        <v>273</v>
      </c>
      <c r="AE167">
        <v>11</v>
      </c>
      <c r="AF167" t="s">
        <v>549</v>
      </c>
      <c r="AG167">
        <v>274.39999999999998</v>
      </c>
      <c r="AH167">
        <v>-4.7</v>
      </c>
      <c r="AO167" s="2" t="s">
        <v>721</v>
      </c>
      <c r="AP167">
        <v>18</v>
      </c>
      <c r="AQ167">
        <v>50</v>
      </c>
      <c r="AR167" s="2" t="s">
        <v>159</v>
      </c>
      <c r="AS167" t="s">
        <v>87</v>
      </c>
      <c r="AT167" t="s">
        <v>67</v>
      </c>
      <c r="AU167" s="148"/>
      <c r="AV167" s="149"/>
      <c r="AW167" s="7"/>
      <c r="AX167">
        <v>88.5</v>
      </c>
      <c r="AY167">
        <v>20.7</v>
      </c>
      <c r="AZ167">
        <v>-40</v>
      </c>
      <c r="BA167">
        <v>50.6</v>
      </c>
      <c r="BB167">
        <v>-54.4</v>
      </c>
      <c r="BC167" s="53"/>
    </row>
    <row r="169" spans="1:55">
      <c r="W169" t="s">
        <v>722</v>
      </c>
    </row>
    <row r="170" spans="1:55">
      <c r="W170" t="s">
        <v>723</v>
      </c>
    </row>
    <row r="171" spans="1:55">
      <c r="W171" t="s">
        <v>724</v>
      </c>
    </row>
    <row r="172" spans="1:55">
      <c r="AT172" t="s">
        <v>69</v>
      </c>
    </row>
    <row r="173" spans="1:55">
      <c r="AT173" t="s">
        <v>69</v>
      </c>
    </row>
    <row r="174" spans="1:55">
      <c r="H174" t="s">
        <v>69</v>
      </c>
      <c r="N174"/>
      <c r="O174"/>
      <c r="AI174"/>
      <c r="AS174" s="151"/>
    </row>
    <row r="175" spans="1:55">
      <c r="H175" t="s">
        <v>69</v>
      </c>
      <c r="N175"/>
      <c r="O175"/>
      <c r="AI175"/>
      <c r="AS175" s="151"/>
    </row>
  </sheetData>
  <mergeCells count="3">
    <mergeCell ref="K3:M3"/>
    <mergeCell ref="P3:V3"/>
    <mergeCell ref="AO3:AQ3"/>
  </mergeCells>
  <hyperlinks>
    <hyperlink ref="AO13" r:id="rId1"/>
    <hyperlink ref="AO14" r:id="rId2"/>
    <hyperlink ref="AO17" r:id="rId3" display="0-@"/>
    <hyperlink ref="Q18" r:id="rId4"/>
    <hyperlink ref="AO20" r:id="rId5" display="300-@"/>
    <hyperlink ref="AO34" r:id="rId6" display="100-@"/>
    <hyperlink ref="W38" r:id="rId7" display="460-@"/>
    <hyperlink ref="W50" r:id="rId8"/>
    <hyperlink ref="AO7" r:id="rId9"/>
    <hyperlink ref="AO8" r:id="rId10"/>
    <hyperlink ref="Q12" r:id="rId11"/>
    <hyperlink ref="Q13" r:id="rId12"/>
    <hyperlink ref="AC15" r:id="rId13"/>
    <hyperlink ref="Q17" r:id="rId14"/>
    <hyperlink ref="AO18" r:id="rId15"/>
    <hyperlink ref="AO19" r:id="rId16"/>
    <hyperlink ref="AC20" r:id="rId17"/>
    <hyperlink ref="V24" r:id="rId18"/>
    <hyperlink ref="Q28" r:id="rId19"/>
    <hyperlink ref="AO28" r:id="rId20"/>
    <hyperlink ref="Q32" r:id="rId21"/>
    <hyperlink ref="AO32" r:id="rId22"/>
    <hyperlink ref="Q37" r:id="rId23"/>
    <hyperlink ref="AO37" r:id="rId24"/>
    <hyperlink ref="AC38" r:id="rId25"/>
    <hyperlink ref="AC43" r:id="rId26"/>
    <hyperlink ref="Q47" r:id="rId27"/>
    <hyperlink ref="AO47" r:id="rId28"/>
    <hyperlink ref="V49" r:id="rId29"/>
    <hyperlink ref="Q52" r:id="rId30"/>
    <hyperlink ref="AO52" r:id="rId31"/>
    <hyperlink ref="Q57" r:id="rId32"/>
    <hyperlink ref="AO57" r:id="rId33"/>
    <hyperlink ref="AO58" r:id="rId34"/>
    <hyperlink ref="AO60" r:id="rId35"/>
    <hyperlink ref="W65" r:id="rId36"/>
    <hyperlink ref="AO67" r:id="rId37"/>
    <hyperlink ref="AC69" r:id="rId38"/>
    <hyperlink ref="AC70" r:id="rId39"/>
    <hyperlink ref="AC73" r:id="rId40"/>
    <hyperlink ref="AC82" r:id="rId41"/>
    <hyperlink ref="Q83" r:id="rId42"/>
    <hyperlink ref="Q85" r:id="rId43"/>
    <hyperlink ref="AO85" r:id="rId44"/>
    <hyperlink ref="Q88" r:id="rId45"/>
    <hyperlink ref="AO88" r:id="rId46"/>
    <hyperlink ref="Q95" r:id="rId47"/>
    <hyperlink ref="AC103" r:id="rId48"/>
    <hyperlink ref="AO62" r:id="rId49"/>
    <hyperlink ref="AO64" r:id="rId50"/>
    <hyperlink ref="Q59" r:id="rId51"/>
    <hyperlink ref="AO59" r:id="rId52"/>
    <hyperlink ref="AC84" r:id="rId53"/>
    <hyperlink ref="AO83" r:id="rId54"/>
    <hyperlink ref="Q119" r:id="rId55"/>
    <hyperlink ref="AI120" r:id="rId56"/>
    <hyperlink ref="AO121" r:id="rId57"/>
    <hyperlink ref="AO122" r:id="rId58"/>
    <hyperlink ref="AC123" r:id="rId59"/>
    <hyperlink ref="AO123" r:id="rId60"/>
    <hyperlink ref="Q124" r:id="rId61"/>
    <hyperlink ref="AO124" r:id="rId62"/>
    <hyperlink ref="AO125" r:id="rId63"/>
    <hyperlink ref="AC131" r:id="rId64"/>
    <hyperlink ref="AO131" r:id="rId65"/>
    <hyperlink ref="AO134" r:id="rId66"/>
    <hyperlink ref="AO135" r:id="rId67"/>
    <hyperlink ref="Q136" r:id="rId68"/>
    <hyperlink ref="AC139" r:id="rId69"/>
    <hyperlink ref="AO143" r:id="rId70" display="200-@"/>
    <hyperlink ref="AC144" r:id="rId71"/>
    <hyperlink ref="AC147" r:id="rId72"/>
    <hyperlink ref="AO147" r:id="rId73"/>
    <hyperlink ref="Q155" r:id="rId74"/>
    <hyperlink ref="AO155" r:id="rId75"/>
    <hyperlink ref="AO159" r:id="rId76"/>
    <hyperlink ref="W161" r:id="rId77"/>
    <hyperlink ref="V163" r:id="rId78"/>
    <hyperlink ref="AO165" r:id="rId79"/>
    <hyperlink ref="AO157" r:id="rId80"/>
    <hyperlink ref="AO149" r:id="rId81"/>
    <hyperlink ref="AO11" r:id="rId82"/>
    <hyperlink ref="Q16" r:id="rId83"/>
    <hyperlink ref="AO16" r:id="rId84"/>
    <hyperlink ref="AO22" r:id="rId85"/>
    <hyperlink ref="AC33" r:id="rId86"/>
    <hyperlink ref="Q35" r:id="rId87"/>
    <hyperlink ref="AO35" r:id="rId88"/>
    <hyperlink ref="Q44" r:id="rId89"/>
    <hyperlink ref="AO44" r:id="rId90"/>
    <hyperlink ref="Q53" r:id="rId91"/>
    <hyperlink ref="AO53" r:id="rId92"/>
    <hyperlink ref="AC55" r:id="rId93"/>
    <hyperlink ref="AO56" r:id="rId94"/>
    <hyperlink ref="AO68" r:id="rId95"/>
    <hyperlink ref="Q71" r:id="rId96"/>
    <hyperlink ref="Q72" r:id="rId97"/>
    <hyperlink ref="Q74" r:id="rId98"/>
    <hyperlink ref="AO74" r:id="rId99"/>
    <hyperlink ref="Q76" r:id="rId100"/>
    <hyperlink ref="AO76" r:id="rId101"/>
    <hyperlink ref="AC78" r:id="rId102"/>
    <hyperlink ref="Q80" r:id="rId103"/>
    <hyperlink ref="AO80" r:id="rId104"/>
    <hyperlink ref="AO92" r:id="rId105"/>
    <hyperlink ref="AO101" r:id="rId106"/>
    <hyperlink ref="Q107" r:id="rId107"/>
    <hyperlink ref="Q108" r:id="rId108"/>
    <hyperlink ref="AO127" r:id="rId109"/>
    <hyperlink ref="W140" r:id="rId110"/>
    <hyperlink ref="AO142" r:id="rId111"/>
    <hyperlink ref="AO145" r:id="rId112"/>
    <hyperlink ref="AO146" r:id="rId113"/>
    <hyperlink ref="W154" r:id="rId114"/>
    <hyperlink ref="AO154" r:id="rId115"/>
  </hyperlinks>
  <pageMargins left="0.7" right="0.7" top="0.75" bottom="0.75" header="0.3" footer="0.3"/>
  <legacyDrawing r:id="rId116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51"/>
  <sheetViews>
    <sheetView topLeftCell="A4" workbookViewId="0">
      <selection activeCell="O31" sqref="O31"/>
    </sheetView>
  </sheetViews>
  <sheetFormatPr defaultRowHeight="15"/>
  <cols>
    <col min="5" max="5" width="9.140625" style="51"/>
  </cols>
  <sheetData>
    <row r="1" spans="1:11">
      <c r="A1" s="686" t="s">
        <v>2287</v>
      </c>
      <c r="B1" s="686"/>
      <c r="C1" s="686" t="s">
        <v>1802</v>
      </c>
    </row>
    <row r="2" spans="1:11">
      <c r="A2" s="687" t="s">
        <v>2288</v>
      </c>
      <c r="B2" s="687" t="s">
        <v>2289</v>
      </c>
      <c r="C2" s="687" t="s">
        <v>2290</v>
      </c>
      <c r="E2" s="688" t="s">
        <v>1957</v>
      </c>
      <c r="F2" s="656"/>
      <c r="G2" s="747" t="s">
        <v>2291</v>
      </c>
      <c r="H2" s="747"/>
      <c r="I2" s="747"/>
      <c r="J2" s="747"/>
      <c r="K2" s="747"/>
    </row>
    <row r="3" spans="1:11">
      <c r="A3">
        <v>150</v>
      </c>
      <c r="B3" s="5">
        <f>'[3]Bardo-Stawy'!C3*0.1</f>
        <v>30.200000000000003</v>
      </c>
      <c r="C3" s="5">
        <v>35.629139072847678</v>
      </c>
      <c r="E3" s="51">
        <v>14.53</v>
      </c>
      <c r="G3" s="687"/>
      <c r="H3" s="687" t="s">
        <v>2292</v>
      </c>
      <c r="I3" s="687" t="s">
        <v>2293</v>
      </c>
      <c r="J3" s="687" t="s">
        <v>2294</v>
      </c>
      <c r="K3" s="687" t="s">
        <v>2295</v>
      </c>
    </row>
    <row r="4" spans="1:11">
      <c r="A4">
        <v>149</v>
      </c>
      <c r="B4" s="5">
        <f>'[3]Bardo-Stawy'!C4*0.1</f>
        <v>49.400000000000006</v>
      </c>
      <c r="C4" s="5">
        <v>31.700404858299596</v>
      </c>
      <c r="E4" s="51">
        <v>14.47</v>
      </c>
      <c r="G4" t="s">
        <v>2296</v>
      </c>
      <c r="H4" s="5">
        <v>119.2</v>
      </c>
      <c r="I4" s="5">
        <v>3.5</v>
      </c>
      <c r="J4" s="5">
        <v>6.5</v>
      </c>
      <c r="K4" s="5">
        <v>14.3</v>
      </c>
    </row>
    <row r="5" spans="1:11">
      <c r="A5">
        <v>148</v>
      </c>
      <c r="B5" s="5">
        <f>'[3]Bardo-Stawy'!C5*0.1</f>
        <v>65.900000000000006</v>
      </c>
      <c r="C5" s="5">
        <v>29.742033383915022</v>
      </c>
      <c r="E5" s="51">
        <v>14.43</v>
      </c>
      <c r="G5">
        <v>48</v>
      </c>
      <c r="H5" s="5">
        <v>114.1</v>
      </c>
      <c r="I5" s="5">
        <v>2.9</v>
      </c>
      <c r="J5" s="5">
        <v>6.9</v>
      </c>
      <c r="K5" s="5">
        <v>14.1</v>
      </c>
    </row>
    <row r="6" spans="1:11">
      <c r="A6">
        <v>147</v>
      </c>
      <c r="B6" s="5">
        <f>'[3]Bardo-Stawy'!C6*0.1</f>
        <v>29</v>
      </c>
      <c r="C6" s="5">
        <v>35.793103448275865</v>
      </c>
      <c r="E6" s="51">
        <v>14.35</v>
      </c>
      <c r="G6">
        <v>47</v>
      </c>
      <c r="H6" s="5">
        <v>155.9</v>
      </c>
      <c r="I6" s="5">
        <v>4.4000000000000004</v>
      </c>
      <c r="J6" s="5">
        <v>9.8000000000000007</v>
      </c>
      <c r="K6" s="5">
        <v>16.7</v>
      </c>
    </row>
    <row r="7" spans="1:11">
      <c r="A7">
        <v>146</v>
      </c>
      <c r="B7" s="5">
        <f>'[3]Bardo-Stawy'!C7*0.1</f>
        <v>34.300000000000004</v>
      </c>
      <c r="C7" s="5">
        <v>45.131195335276963</v>
      </c>
      <c r="E7" s="51">
        <v>14.32</v>
      </c>
      <c r="G7">
        <v>46</v>
      </c>
      <c r="H7" s="5">
        <v>138.1</v>
      </c>
      <c r="I7" s="5">
        <v>4.0999999999999996</v>
      </c>
      <c r="J7" s="5">
        <v>7.9</v>
      </c>
      <c r="K7" s="5">
        <v>15.4</v>
      </c>
    </row>
    <row r="8" spans="1:11">
      <c r="A8">
        <v>145</v>
      </c>
      <c r="B8" s="5">
        <f>'[3]Bardo-Stawy'!C8*0.1</f>
        <v>35.4</v>
      </c>
      <c r="C8" s="5">
        <v>40.564971751412429</v>
      </c>
      <c r="E8" s="51">
        <v>14.27</v>
      </c>
      <c r="G8">
        <v>45</v>
      </c>
      <c r="H8" s="5">
        <v>126.8</v>
      </c>
      <c r="I8" s="5">
        <v>3.8</v>
      </c>
      <c r="J8" s="5">
        <v>7.8</v>
      </c>
      <c r="K8" s="5">
        <v>12.8</v>
      </c>
    </row>
    <row r="9" spans="1:11">
      <c r="A9">
        <v>144</v>
      </c>
      <c r="B9" s="5">
        <f>'[3]Bardo-Stawy'!C9*0.1</f>
        <v>11.200000000000001</v>
      </c>
      <c r="C9" s="5">
        <v>43.214285714285715</v>
      </c>
      <c r="E9" s="51">
        <v>14.17</v>
      </c>
      <c r="G9">
        <v>44</v>
      </c>
      <c r="H9" s="5">
        <v>77.8</v>
      </c>
      <c r="I9" s="5">
        <v>2.2999999999999998</v>
      </c>
      <c r="J9" s="5">
        <v>4.8</v>
      </c>
      <c r="K9" s="5">
        <v>8.1999999999999993</v>
      </c>
    </row>
    <row r="10" spans="1:11">
      <c r="A10">
        <v>143</v>
      </c>
      <c r="B10" s="5">
        <f>'[3]Bardo-Stawy'!C10*0.1</f>
        <v>27.5</v>
      </c>
      <c r="C10" s="5">
        <v>58.18181818181818</v>
      </c>
      <c r="E10" s="51">
        <v>14.12</v>
      </c>
      <c r="G10">
        <v>43</v>
      </c>
      <c r="H10" s="5">
        <v>80.900000000000006</v>
      </c>
      <c r="I10" s="5">
        <v>2.2999999999999998</v>
      </c>
      <c r="J10" s="5">
        <v>5.0999999999999996</v>
      </c>
      <c r="K10" s="5">
        <v>8.5</v>
      </c>
    </row>
    <row r="11" spans="1:11">
      <c r="A11">
        <v>142</v>
      </c>
      <c r="B11" s="5">
        <f>'[3]Bardo-Stawy'!C11*0.1</f>
        <v>33</v>
      </c>
      <c r="C11" s="5">
        <v>89.030303030303031</v>
      </c>
      <c r="E11" s="51">
        <v>14.03</v>
      </c>
      <c r="G11">
        <v>42</v>
      </c>
      <c r="H11" s="5">
        <v>93.5</v>
      </c>
      <c r="I11" s="5">
        <v>2.5</v>
      </c>
      <c r="J11" s="5">
        <v>6.9</v>
      </c>
      <c r="K11" s="5">
        <v>8.8000000000000007</v>
      </c>
    </row>
    <row r="12" spans="1:11">
      <c r="A12">
        <v>141</v>
      </c>
      <c r="B12" s="5">
        <f>'[3]Bardo-Stawy'!C12*0.1</f>
        <v>20</v>
      </c>
      <c r="C12" s="5">
        <v>49</v>
      </c>
      <c r="E12" s="51">
        <v>13.92</v>
      </c>
      <c r="G12">
        <v>41</v>
      </c>
      <c r="H12" s="5">
        <v>87.5</v>
      </c>
      <c r="I12" s="5">
        <v>2.2999999999999998</v>
      </c>
      <c r="J12" s="5">
        <v>6.3</v>
      </c>
      <c r="K12" s="5">
        <v>8.6999999999999993</v>
      </c>
    </row>
    <row r="13" spans="1:11">
      <c r="A13">
        <v>140</v>
      </c>
      <c r="B13" s="5">
        <f>'[3]Bardo-Stawy'!C13*0.1</f>
        <v>17.5</v>
      </c>
      <c r="C13" s="5">
        <v>78.171428571428578</v>
      </c>
      <c r="E13" s="51">
        <v>13.8</v>
      </c>
      <c r="G13">
        <v>40</v>
      </c>
      <c r="H13" s="5">
        <v>89.5</v>
      </c>
      <c r="I13" s="5">
        <v>2.5</v>
      </c>
      <c r="J13" s="5">
        <v>6</v>
      </c>
      <c r="K13" s="5">
        <v>9</v>
      </c>
    </row>
    <row r="14" spans="1:11">
      <c r="A14">
        <v>139</v>
      </c>
      <c r="B14" s="5">
        <f>'[3]Bardo-Stawy'!C14*0.1</f>
        <v>8.8000000000000007</v>
      </c>
      <c r="C14" s="5">
        <v>52.272727272727266</v>
      </c>
      <c r="E14" s="51">
        <v>13.7</v>
      </c>
      <c r="G14">
        <v>39</v>
      </c>
      <c r="H14" s="5">
        <v>84.3</v>
      </c>
      <c r="I14" s="5">
        <v>2.6</v>
      </c>
      <c r="J14" s="5">
        <v>5.2</v>
      </c>
      <c r="K14" s="5">
        <v>8.4</v>
      </c>
    </row>
    <row r="15" spans="1:11">
      <c r="A15">
        <v>138</v>
      </c>
      <c r="B15" s="5">
        <f>'[3]Bardo-Stawy'!C15*0.1</f>
        <v>26.700000000000003</v>
      </c>
      <c r="C15" s="5">
        <v>59.176029962546814</v>
      </c>
      <c r="E15" s="51">
        <v>13.57</v>
      </c>
      <c r="G15">
        <v>38</v>
      </c>
      <c r="H15" s="5">
        <v>70.8</v>
      </c>
      <c r="I15" s="5">
        <v>2.2000000000000002</v>
      </c>
      <c r="J15" s="5">
        <v>4</v>
      </c>
      <c r="K15" s="5">
        <v>7.6</v>
      </c>
    </row>
    <row r="16" spans="1:11">
      <c r="A16">
        <v>137</v>
      </c>
      <c r="B16" s="5">
        <f>'[3]Bardo-Stawy'!C16*0.1</f>
        <v>19.700000000000003</v>
      </c>
      <c r="C16" s="5">
        <v>67.005076142131969</v>
      </c>
      <c r="E16" s="51">
        <v>13.46</v>
      </c>
      <c r="G16">
        <v>37</v>
      </c>
      <c r="H16" s="5">
        <v>85.3</v>
      </c>
      <c r="I16" s="5">
        <v>2.6</v>
      </c>
      <c r="J16" s="5">
        <v>4.9000000000000004</v>
      </c>
      <c r="K16" s="5">
        <v>9.3000000000000007</v>
      </c>
    </row>
    <row r="17" spans="1:11">
      <c r="A17">
        <v>135</v>
      </c>
      <c r="B17" s="5">
        <f>'[3]Bardo-Stawy'!C17*0.1</f>
        <v>4</v>
      </c>
      <c r="C17" s="5"/>
      <c r="E17" s="51">
        <v>13.26</v>
      </c>
      <c r="G17">
        <v>36</v>
      </c>
      <c r="H17" s="5">
        <v>74.8</v>
      </c>
      <c r="I17" s="5">
        <v>2.2000000000000002</v>
      </c>
      <c r="J17" s="5">
        <v>4.5</v>
      </c>
      <c r="K17" s="5">
        <v>8</v>
      </c>
    </row>
    <row r="18" spans="1:11">
      <c r="A18">
        <v>134</v>
      </c>
      <c r="B18" s="5">
        <f>'[3]Bardo-Stawy'!C18*0.1</f>
        <v>54.6</v>
      </c>
      <c r="C18" s="5">
        <v>69.157509157509153</v>
      </c>
      <c r="E18" s="51">
        <v>13.17</v>
      </c>
      <c r="G18">
        <v>35</v>
      </c>
      <c r="H18" s="5">
        <v>79.2</v>
      </c>
      <c r="I18" s="5">
        <v>2.5</v>
      </c>
      <c r="J18" s="5">
        <v>4.0999999999999996</v>
      </c>
      <c r="K18" s="5">
        <v>9</v>
      </c>
    </row>
    <row r="19" spans="1:11">
      <c r="A19">
        <v>133</v>
      </c>
      <c r="B19" s="5">
        <f>'[3]Bardo-Stawy'!C19*0.1</f>
        <v>12.3</v>
      </c>
      <c r="C19" s="5">
        <v>67.804878048780481</v>
      </c>
      <c r="E19" s="51">
        <v>13.09</v>
      </c>
      <c r="G19">
        <v>34</v>
      </c>
      <c r="H19" s="5">
        <v>67.3</v>
      </c>
      <c r="I19" s="5">
        <v>2.2000000000000002</v>
      </c>
      <c r="J19" s="5">
        <v>3</v>
      </c>
      <c r="K19" s="5">
        <v>8</v>
      </c>
    </row>
    <row r="20" spans="1:11">
      <c r="A20">
        <v>132</v>
      </c>
      <c r="B20" s="5">
        <f>'[3]Bardo-Stawy'!C20*0.1</f>
        <v>14.9</v>
      </c>
      <c r="C20" s="5">
        <v>60.26845637583893</v>
      </c>
      <c r="E20" s="51">
        <v>13.03</v>
      </c>
      <c r="G20">
        <v>33</v>
      </c>
      <c r="H20" s="5">
        <v>63.9</v>
      </c>
      <c r="I20" s="5">
        <v>2.1</v>
      </c>
      <c r="J20" s="5">
        <v>3.5</v>
      </c>
      <c r="K20" s="5">
        <v>6.5</v>
      </c>
    </row>
    <row r="21" spans="1:11">
      <c r="A21">
        <v>131</v>
      </c>
      <c r="B21" s="5">
        <f>'[3]Bardo-Stawy'!C21*0.1</f>
        <v>16.100000000000001</v>
      </c>
      <c r="C21" s="5">
        <v>61.614906832298132</v>
      </c>
      <c r="E21" s="51">
        <v>12.94</v>
      </c>
      <c r="G21">
        <v>32</v>
      </c>
      <c r="H21" s="5">
        <v>72.2</v>
      </c>
      <c r="I21" s="5">
        <v>2.4</v>
      </c>
      <c r="J21" s="5">
        <v>3.6</v>
      </c>
      <c r="K21" s="5">
        <v>7.9</v>
      </c>
    </row>
    <row r="22" spans="1:11">
      <c r="A22">
        <v>130</v>
      </c>
      <c r="B22" s="5">
        <f>'[3]Bardo-Stawy'!C22*0.1</f>
        <v>17.5</v>
      </c>
      <c r="C22" s="5">
        <v>72.571428571428569</v>
      </c>
      <c r="E22" s="51">
        <v>12.86</v>
      </c>
      <c r="G22">
        <v>31</v>
      </c>
      <c r="H22" s="5">
        <v>65.400000000000006</v>
      </c>
      <c r="I22" s="5">
        <v>2.1</v>
      </c>
      <c r="J22" s="5">
        <v>3.3</v>
      </c>
      <c r="K22" s="5">
        <v>7.6</v>
      </c>
    </row>
    <row r="23" spans="1:11">
      <c r="A23">
        <v>129</v>
      </c>
      <c r="B23" s="5">
        <f>'[3]Bardo-Stawy'!C23*0.1</f>
        <v>18</v>
      </c>
      <c r="C23" s="5">
        <v>58.888888888888886</v>
      </c>
      <c r="E23" s="51">
        <v>12.79</v>
      </c>
      <c r="G23">
        <v>30</v>
      </c>
      <c r="H23" s="5">
        <v>84.3</v>
      </c>
      <c r="I23" s="5">
        <v>2.9</v>
      </c>
      <c r="J23" s="5">
        <v>4</v>
      </c>
      <c r="K23" s="5">
        <v>9.4</v>
      </c>
    </row>
    <row r="24" spans="1:11">
      <c r="A24">
        <v>128</v>
      </c>
      <c r="B24" s="5">
        <f>'[3]Bardo-Stawy'!C24*0.1</f>
        <v>16.600000000000001</v>
      </c>
      <c r="C24" s="5">
        <v>54.819277108433731</v>
      </c>
      <c r="E24" s="51">
        <v>12.67</v>
      </c>
      <c r="G24">
        <v>29</v>
      </c>
      <c r="H24" s="5">
        <v>102.5</v>
      </c>
      <c r="I24" s="5">
        <v>3.2</v>
      </c>
      <c r="J24" s="5">
        <v>5.5</v>
      </c>
      <c r="K24" s="5">
        <v>11.7</v>
      </c>
    </row>
    <row r="25" spans="1:11">
      <c r="A25">
        <v>127</v>
      </c>
      <c r="B25" s="5">
        <f>'[3]Bardo-Stawy'!C25*0.1</f>
        <v>9</v>
      </c>
      <c r="C25" s="5">
        <v>56.888888888888886</v>
      </c>
      <c r="E25" s="51">
        <v>12.57</v>
      </c>
      <c r="G25">
        <v>28</v>
      </c>
      <c r="H25" s="5">
        <v>104.3</v>
      </c>
      <c r="I25" s="5">
        <v>3.4</v>
      </c>
      <c r="J25" s="5">
        <v>5.6</v>
      </c>
      <c r="K25" s="5">
        <v>10.7</v>
      </c>
    </row>
    <row r="26" spans="1:11">
      <c r="A26">
        <v>126</v>
      </c>
      <c r="B26" s="5">
        <f>'[3]Bardo-Stawy'!C26*0.1</f>
        <v>30.200000000000003</v>
      </c>
      <c r="C26" s="5">
        <v>58.410596026490062</v>
      </c>
      <c r="E26" s="51">
        <v>12.43</v>
      </c>
      <c r="G26">
        <v>27</v>
      </c>
      <c r="H26" s="5">
        <v>116.9</v>
      </c>
      <c r="I26" s="5">
        <v>4.0999999999999996</v>
      </c>
      <c r="J26" s="5">
        <v>5.4</v>
      </c>
      <c r="K26" s="5">
        <v>12.6</v>
      </c>
    </row>
    <row r="27" spans="1:11">
      <c r="A27">
        <v>125</v>
      </c>
      <c r="B27" s="5">
        <f>'[3]Bardo-Stawy'!C27*0.1</f>
        <v>26.900000000000002</v>
      </c>
      <c r="C27" s="5">
        <v>58.959107806691456</v>
      </c>
      <c r="E27" s="51">
        <v>12.33</v>
      </c>
      <c r="G27">
        <v>26</v>
      </c>
      <c r="H27" s="5">
        <v>91.1</v>
      </c>
      <c r="I27" s="5">
        <v>3.1</v>
      </c>
      <c r="J27" s="5">
        <v>3.8</v>
      </c>
      <c r="K27" s="5">
        <v>11.3</v>
      </c>
    </row>
    <row r="28" spans="1:11">
      <c r="A28">
        <v>124</v>
      </c>
      <c r="B28" s="5">
        <f>'[3]Bardo-Stawy'!C28*0.1</f>
        <v>22.3</v>
      </c>
      <c r="C28" s="5">
        <v>58.654708520179369</v>
      </c>
      <c r="E28" s="51">
        <v>12.23</v>
      </c>
      <c r="G28">
        <v>25</v>
      </c>
      <c r="H28" s="5">
        <v>95.9</v>
      </c>
      <c r="I28" s="5">
        <v>3.5</v>
      </c>
      <c r="J28" s="5">
        <v>3.8</v>
      </c>
      <c r="K28" s="5">
        <v>10.9</v>
      </c>
    </row>
    <row r="29" spans="1:11">
      <c r="A29">
        <v>123</v>
      </c>
      <c r="B29" s="5">
        <f>'[3]Bardo-Stawy'!C29*0.1</f>
        <v>29.700000000000003</v>
      </c>
      <c r="C29" s="5">
        <v>61.077441077441073</v>
      </c>
      <c r="E29" s="51">
        <v>12.17</v>
      </c>
      <c r="G29">
        <v>24</v>
      </c>
      <c r="H29" s="5">
        <v>91.6</v>
      </c>
      <c r="I29" s="5">
        <v>3.2</v>
      </c>
      <c r="J29" s="5">
        <v>4.5999999999999996</v>
      </c>
      <c r="K29" s="5">
        <v>9.3000000000000007</v>
      </c>
    </row>
    <row r="30" spans="1:11">
      <c r="A30">
        <v>122</v>
      </c>
      <c r="B30" s="5">
        <f>'[3]Bardo-Stawy'!C30*0.1</f>
        <v>14.600000000000001</v>
      </c>
      <c r="C30" s="5">
        <v>60.958904109589035</v>
      </c>
      <c r="E30" s="51">
        <v>12.08</v>
      </c>
      <c r="G30">
        <v>23</v>
      </c>
      <c r="H30" s="5">
        <v>102.2</v>
      </c>
      <c r="I30" s="5">
        <v>3.5</v>
      </c>
      <c r="J30" s="5">
        <v>4.8</v>
      </c>
      <c r="K30" s="5">
        <v>11.2</v>
      </c>
    </row>
    <row r="31" spans="1:11">
      <c r="A31">
        <v>121</v>
      </c>
      <c r="B31" s="5">
        <f>'[3]Bardo-Stawy'!C31*0.1</f>
        <v>29.400000000000002</v>
      </c>
      <c r="C31" s="5">
        <v>57.687074829931973</v>
      </c>
      <c r="E31" s="51">
        <v>12.03</v>
      </c>
      <c r="G31">
        <v>22</v>
      </c>
      <c r="H31" s="5">
        <v>96.9</v>
      </c>
      <c r="I31" s="5">
        <v>3.2</v>
      </c>
      <c r="J31" s="5">
        <v>5</v>
      </c>
      <c r="K31" s="5">
        <v>10.6</v>
      </c>
    </row>
    <row r="32" spans="1:11">
      <c r="A32">
        <v>120</v>
      </c>
      <c r="B32" s="5">
        <f>'[3]Bardo-Stawy'!C32*0.1</f>
        <v>21.400000000000002</v>
      </c>
      <c r="C32" s="5">
        <v>62.149532710280369</v>
      </c>
      <c r="E32" s="51">
        <v>11.98</v>
      </c>
      <c r="G32" t="s">
        <v>2296</v>
      </c>
      <c r="H32" s="5">
        <v>57.8</v>
      </c>
      <c r="I32" s="5">
        <v>1.8</v>
      </c>
      <c r="J32" s="5">
        <v>2.9</v>
      </c>
      <c r="K32" s="5">
        <v>6.8</v>
      </c>
    </row>
    <row r="33" spans="1:11">
      <c r="A33">
        <v>119</v>
      </c>
      <c r="B33" s="5">
        <f>'[3]Bardo-Stawy'!C33*0.1</f>
        <v>16.8</v>
      </c>
      <c r="C33" s="5">
        <v>58.809523809523817</v>
      </c>
      <c r="E33" s="51">
        <v>11.93</v>
      </c>
      <c r="G33" t="s">
        <v>2296</v>
      </c>
      <c r="H33" s="5">
        <v>49.2</v>
      </c>
      <c r="I33" s="5">
        <v>1.3</v>
      </c>
      <c r="J33" s="5">
        <v>4</v>
      </c>
      <c r="K33" s="5">
        <v>6.1</v>
      </c>
    </row>
    <row r="34" spans="1:11">
      <c r="A34">
        <v>118</v>
      </c>
      <c r="B34" s="5">
        <f>'[3]Bardo-Stawy'!C34*0.1</f>
        <v>17.3</v>
      </c>
      <c r="C34" s="5">
        <v>60.346820809248555</v>
      </c>
      <c r="E34" s="51">
        <v>11.87</v>
      </c>
      <c r="G34">
        <v>21</v>
      </c>
      <c r="H34" s="5">
        <v>70.400000000000006</v>
      </c>
      <c r="I34" s="5">
        <v>1.8</v>
      </c>
      <c r="J34" s="5">
        <v>5.0999999999999996</v>
      </c>
      <c r="K34" s="5">
        <v>7</v>
      </c>
    </row>
    <row r="35" spans="1:11">
      <c r="A35">
        <v>117</v>
      </c>
      <c r="B35" s="5">
        <f>'[3]Bardo-Stawy'!C35*0.1</f>
        <v>39.300000000000004</v>
      </c>
      <c r="C35" s="5">
        <v>52.773536895674297</v>
      </c>
      <c r="E35" s="51">
        <v>11.76</v>
      </c>
      <c r="G35">
        <v>20</v>
      </c>
      <c r="H35" s="5">
        <v>68.900000000000006</v>
      </c>
      <c r="I35" s="5">
        <v>1.7</v>
      </c>
      <c r="J35" s="5">
        <v>5.4</v>
      </c>
      <c r="K35" s="5">
        <v>6.3</v>
      </c>
    </row>
    <row r="36" spans="1:11">
      <c r="A36">
        <v>115</v>
      </c>
      <c r="B36" s="5">
        <f>'[3]Bardo-Stawy'!C36*0.1</f>
        <v>13.4</v>
      </c>
      <c r="C36" s="5">
        <v>58.208955223880594</v>
      </c>
      <c r="E36" s="51">
        <v>11.65</v>
      </c>
      <c r="G36">
        <v>19</v>
      </c>
      <c r="H36" s="5">
        <v>70.599999999999994</v>
      </c>
      <c r="I36" s="5">
        <v>1.9</v>
      </c>
      <c r="J36" s="5">
        <v>5</v>
      </c>
      <c r="K36" s="5">
        <v>7</v>
      </c>
    </row>
    <row r="37" spans="1:11">
      <c r="A37">
        <v>114</v>
      </c>
      <c r="B37" s="5">
        <f>'[3]Bardo-Stawy'!C37*0.1</f>
        <v>36.4</v>
      </c>
      <c r="C37" s="5">
        <v>65.109890109890117</v>
      </c>
      <c r="E37" s="51">
        <v>11.61</v>
      </c>
      <c r="G37">
        <v>18</v>
      </c>
      <c r="H37" s="5">
        <v>67.2</v>
      </c>
      <c r="I37" s="5">
        <v>1.7</v>
      </c>
      <c r="J37" s="5">
        <v>5.3</v>
      </c>
      <c r="K37" s="5">
        <v>5.7</v>
      </c>
    </row>
    <row r="38" spans="1:11">
      <c r="A38">
        <v>113</v>
      </c>
      <c r="B38" s="5">
        <f>'[3]Bardo-Stawy'!C38*0.1</f>
        <v>20.400000000000002</v>
      </c>
      <c r="C38" s="5">
        <v>59.509803921568619</v>
      </c>
      <c r="E38" s="51">
        <v>11.55</v>
      </c>
      <c r="G38">
        <v>17</v>
      </c>
      <c r="H38" s="5">
        <v>62.1</v>
      </c>
      <c r="I38" s="5">
        <v>1.5</v>
      </c>
      <c r="J38" s="5">
        <v>5.3</v>
      </c>
      <c r="K38" s="5">
        <v>5.4</v>
      </c>
    </row>
    <row r="39" spans="1:11">
      <c r="A39">
        <v>112</v>
      </c>
      <c r="B39" s="5">
        <f>'[3]Bardo-Stawy'!C39*0.1</f>
        <v>76.400000000000006</v>
      </c>
      <c r="C39" s="5">
        <v>43.324607329842927</v>
      </c>
      <c r="E39" s="51">
        <v>11.51</v>
      </c>
      <c r="G39">
        <v>16</v>
      </c>
      <c r="H39" s="5">
        <v>66</v>
      </c>
      <c r="I39" s="5">
        <v>1.6</v>
      </c>
      <c r="J39" s="5">
        <v>5.0999999999999996</v>
      </c>
      <c r="K39" s="5">
        <v>6.5</v>
      </c>
    </row>
    <row r="40" spans="1:11">
      <c r="A40">
        <v>111</v>
      </c>
      <c r="B40" s="5">
        <f>'[3]Bardo-Stawy'!C40*0.1</f>
        <v>44.300000000000004</v>
      </c>
      <c r="C40" s="5">
        <v>55.395033860045139</v>
      </c>
      <c r="E40" s="51">
        <v>11.45</v>
      </c>
      <c r="G40">
        <v>15</v>
      </c>
      <c r="H40" s="5">
        <v>64.400000000000006</v>
      </c>
      <c r="I40" s="5">
        <v>1.3</v>
      </c>
      <c r="J40" s="5">
        <v>5.8</v>
      </c>
      <c r="K40" s="5">
        <v>5.7</v>
      </c>
    </row>
    <row r="41" spans="1:11">
      <c r="A41">
        <v>110</v>
      </c>
      <c r="B41" s="5">
        <f>'[3]Bardo-Stawy'!C41*0.1</f>
        <v>21.5</v>
      </c>
      <c r="C41" s="5">
        <v>55.627906976744185</v>
      </c>
      <c r="E41" s="51">
        <v>11.4</v>
      </c>
      <c r="G41">
        <v>14</v>
      </c>
      <c r="H41" s="5">
        <v>72.7</v>
      </c>
      <c r="I41" s="5">
        <v>1.8</v>
      </c>
      <c r="J41" s="5">
        <v>5.2</v>
      </c>
      <c r="K41" s="5">
        <v>8.1</v>
      </c>
    </row>
    <row r="42" spans="1:11">
      <c r="A42">
        <v>109</v>
      </c>
      <c r="B42" s="5">
        <f>'[3]Bardo-Stawy'!C42*0.1</f>
        <v>12.600000000000001</v>
      </c>
      <c r="C42" s="5">
        <v>58.73015873015872</v>
      </c>
      <c r="E42" s="51">
        <v>11.33</v>
      </c>
      <c r="G42">
        <v>13</v>
      </c>
      <c r="H42" s="5">
        <v>67.900000000000006</v>
      </c>
      <c r="I42" s="5">
        <v>1.5</v>
      </c>
      <c r="J42" s="5">
        <v>5.3</v>
      </c>
      <c r="K42" s="5">
        <v>7</v>
      </c>
    </row>
    <row r="43" spans="1:11">
      <c r="A43">
        <v>108</v>
      </c>
      <c r="B43" s="5">
        <f>'[3]Bardo-Stawy'!C43*0.1</f>
        <v>22</v>
      </c>
      <c r="C43" s="5">
        <v>57.18181818181818</v>
      </c>
      <c r="E43" s="51">
        <v>11.25</v>
      </c>
      <c r="G43">
        <v>12</v>
      </c>
      <c r="H43" s="5">
        <v>60.3</v>
      </c>
      <c r="I43" s="5">
        <v>1.3</v>
      </c>
      <c r="J43" s="5">
        <v>5.3</v>
      </c>
      <c r="K43" s="5">
        <v>5.4</v>
      </c>
    </row>
    <row r="44" spans="1:11">
      <c r="A44">
        <v>107</v>
      </c>
      <c r="B44" s="5">
        <f>'[3]Bardo-Stawy'!C44*0.1</f>
        <v>42.300000000000004</v>
      </c>
      <c r="C44" s="5">
        <v>51.063829787234035</v>
      </c>
      <c r="E44" s="51">
        <v>11.17</v>
      </c>
      <c r="G44">
        <v>11</v>
      </c>
      <c r="H44" s="5">
        <v>64.3</v>
      </c>
      <c r="I44" s="5">
        <v>1.5</v>
      </c>
      <c r="J44" s="5">
        <v>5.0999999999999996</v>
      </c>
      <c r="K44" s="5">
        <v>6.4</v>
      </c>
    </row>
    <row r="45" spans="1:11">
      <c r="A45">
        <v>106</v>
      </c>
      <c r="B45" s="5">
        <f>'[3]Bardo-Stawy'!C45*0.1</f>
        <v>30.8</v>
      </c>
      <c r="C45" s="5">
        <v>50.389610389610397</v>
      </c>
      <c r="E45" s="51">
        <v>11.08</v>
      </c>
      <c r="G45">
        <v>10</v>
      </c>
      <c r="H45" s="5">
        <v>75</v>
      </c>
      <c r="I45" s="5">
        <v>1.9</v>
      </c>
      <c r="J45" s="5">
        <v>5.5</v>
      </c>
      <c r="K45" s="5">
        <v>7.8</v>
      </c>
    </row>
    <row r="46" spans="1:11">
      <c r="A46">
        <v>105</v>
      </c>
      <c r="B46" s="5">
        <f>'[3]Bardo-Stawy'!C46*0.1</f>
        <v>25.400000000000002</v>
      </c>
      <c r="C46" s="5">
        <v>46.062992125984245</v>
      </c>
      <c r="E46" s="51">
        <v>11.04</v>
      </c>
      <c r="G46">
        <v>9</v>
      </c>
      <c r="H46" s="5">
        <v>109.8</v>
      </c>
      <c r="I46" s="5">
        <v>3</v>
      </c>
      <c r="J46" s="5">
        <v>7.2</v>
      </c>
      <c r="K46" s="5">
        <v>11.7</v>
      </c>
    </row>
    <row r="47" spans="1:11">
      <c r="A47">
        <v>104</v>
      </c>
      <c r="B47" s="5">
        <f>'[3]Bardo-Stawy'!C47*0.1</f>
        <v>23.6</v>
      </c>
      <c r="C47" s="5">
        <v>56.440677966101703</v>
      </c>
      <c r="E47" s="51">
        <v>10.98</v>
      </c>
      <c r="G47">
        <v>8</v>
      </c>
      <c r="H47" s="5">
        <v>127.1</v>
      </c>
      <c r="I47" s="5">
        <v>3.7</v>
      </c>
      <c r="J47" s="5">
        <v>7.9</v>
      </c>
      <c r="K47" s="5">
        <v>13.5</v>
      </c>
    </row>
    <row r="48" spans="1:11">
      <c r="A48">
        <v>103</v>
      </c>
      <c r="B48" s="5">
        <f>'[3]Bardo-Stawy'!C48*0.1</f>
        <v>33.800000000000004</v>
      </c>
      <c r="C48" s="5">
        <v>45.976331360946737</v>
      </c>
      <c r="E48" s="51">
        <v>10.94</v>
      </c>
      <c r="G48">
        <v>7</v>
      </c>
      <c r="H48" s="5">
        <v>131.1</v>
      </c>
      <c r="I48" s="5">
        <v>4.3</v>
      </c>
      <c r="J48" s="5">
        <v>6.7</v>
      </c>
      <c r="K48" s="5">
        <v>14.5</v>
      </c>
    </row>
    <row r="49" spans="1:11">
      <c r="A49">
        <v>102</v>
      </c>
      <c r="B49" s="5">
        <f>'[3]Bardo-Stawy'!C49*0.1</f>
        <v>37.800000000000004</v>
      </c>
      <c r="C49" s="5">
        <v>46.349206349206348</v>
      </c>
      <c r="E49" s="51">
        <v>10.89</v>
      </c>
      <c r="G49">
        <v>6</v>
      </c>
      <c r="H49" s="5">
        <v>121.8</v>
      </c>
      <c r="I49" s="5">
        <v>4</v>
      </c>
      <c r="J49" s="5">
        <v>4.9000000000000004</v>
      </c>
      <c r="K49" s="5">
        <v>15.9</v>
      </c>
    </row>
    <row r="50" spans="1:11">
      <c r="A50">
        <v>101</v>
      </c>
      <c r="B50" s="5">
        <f>'[3]Bardo-Stawy'!C50*0.1</f>
        <v>23.5</v>
      </c>
      <c r="C50" s="5">
        <v>48.085106382978722</v>
      </c>
      <c r="E50" s="51">
        <v>10.83</v>
      </c>
      <c r="G50">
        <v>5</v>
      </c>
      <c r="H50" s="5">
        <v>117.8</v>
      </c>
      <c r="I50" s="5">
        <v>4.3</v>
      </c>
      <c r="J50" s="5">
        <v>4.4000000000000004</v>
      </c>
      <c r="K50" s="5">
        <v>14.1</v>
      </c>
    </row>
    <row r="51" spans="1:11">
      <c r="A51">
        <v>100</v>
      </c>
      <c r="B51" s="5">
        <f>'[3]Bardo-Stawy'!C51*0.1</f>
        <v>31</v>
      </c>
      <c r="C51" s="5">
        <v>24.258064516129032</v>
      </c>
      <c r="E51" s="51">
        <v>10.74</v>
      </c>
      <c r="G51">
        <v>4</v>
      </c>
      <c r="H51" s="5">
        <v>120.3</v>
      </c>
      <c r="I51" s="5">
        <v>4.2</v>
      </c>
      <c r="J51" s="5">
        <v>4.0999999999999996</v>
      </c>
      <c r="K51" s="5">
        <v>15.9</v>
      </c>
    </row>
    <row r="52" spans="1:11">
      <c r="A52">
        <v>99</v>
      </c>
      <c r="B52" s="5">
        <f>'[3]Bardo-Stawy'!C52*0.1</f>
        <v>33.800000000000004</v>
      </c>
      <c r="C52" s="5">
        <v>43.905325443786978</v>
      </c>
      <c r="E52" s="51">
        <v>10.67</v>
      </c>
      <c r="G52">
        <v>3</v>
      </c>
      <c r="H52" s="5">
        <v>114.4</v>
      </c>
      <c r="I52" s="5">
        <v>3.8</v>
      </c>
      <c r="J52" s="5">
        <v>4.2</v>
      </c>
      <c r="K52" s="5">
        <v>15.6</v>
      </c>
    </row>
    <row r="53" spans="1:11">
      <c r="A53">
        <v>98</v>
      </c>
      <c r="B53" s="5">
        <f>'[3]Bardo-Stawy'!C53*0.1</f>
        <v>26</v>
      </c>
      <c r="C53" s="5">
        <v>25.53846153846154</v>
      </c>
      <c r="E53" s="51">
        <v>10.63</v>
      </c>
      <c r="G53">
        <v>2</v>
      </c>
      <c r="H53" s="5">
        <v>116.2</v>
      </c>
      <c r="I53" s="5">
        <v>5</v>
      </c>
      <c r="J53" s="5">
        <v>3.2</v>
      </c>
      <c r="K53" s="5">
        <v>17.399999999999999</v>
      </c>
    </row>
    <row r="54" spans="1:11">
      <c r="A54">
        <v>97</v>
      </c>
      <c r="B54" s="5">
        <f>'[3]Bardo-Stawy'!C54*0.1</f>
        <v>34.300000000000004</v>
      </c>
      <c r="C54" s="5">
        <v>47.930029154518941</v>
      </c>
      <c r="E54" s="51">
        <v>10.57</v>
      </c>
      <c r="G54">
        <v>1</v>
      </c>
      <c r="H54" s="5">
        <v>109.5</v>
      </c>
      <c r="I54" s="5">
        <v>3.7</v>
      </c>
      <c r="J54" s="5">
        <v>3.8</v>
      </c>
      <c r="K54" s="5">
        <v>15.1</v>
      </c>
    </row>
    <row r="55" spans="1:11">
      <c r="A55">
        <v>96</v>
      </c>
      <c r="B55" s="5">
        <f>'[3]Bardo-Stawy'!C55*0.1</f>
        <v>30.1</v>
      </c>
      <c r="C55" s="5">
        <v>54.152823920265782</v>
      </c>
      <c r="E55" s="51">
        <v>10.52</v>
      </c>
      <c r="G55" t="s">
        <v>2296</v>
      </c>
      <c r="H55" s="5">
        <v>88.2</v>
      </c>
      <c r="I55" s="5">
        <v>2.8</v>
      </c>
      <c r="J55" s="5">
        <v>3.2</v>
      </c>
      <c r="K55" s="5">
        <v>12.8</v>
      </c>
    </row>
    <row r="56" spans="1:11">
      <c r="A56">
        <v>95</v>
      </c>
      <c r="B56" s="5">
        <f>'[3]Bardo-Stawy'!C56*0.1</f>
        <v>26.200000000000003</v>
      </c>
      <c r="C56" s="5">
        <v>54.656488549618324</v>
      </c>
      <c r="E56" s="51">
        <v>10.47</v>
      </c>
    </row>
    <row r="57" spans="1:11">
      <c r="A57">
        <v>94</v>
      </c>
      <c r="B57" s="5">
        <f>'[3]Bardo-Stawy'!C57*0.1</f>
        <v>27.900000000000002</v>
      </c>
      <c r="C57" s="5">
        <v>59.211469534050181</v>
      </c>
      <c r="E57" s="51">
        <v>10.42</v>
      </c>
    </row>
    <row r="58" spans="1:11">
      <c r="A58">
        <v>93</v>
      </c>
      <c r="B58" s="5">
        <f>'[3]Bardo-Stawy'!C58*0.1</f>
        <v>31.1</v>
      </c>
      <c r="C58" s="5">
        <v>43.344051446945336</v>
      </c>
      <c r="E58" s="51">
        <v>10.36</v>
      </c>
    </row>
    <row r="59" spans="1:11">
      <c r="A59">
        <v>92</v>
      </c>
      <c r="B59" s="5">
        <f>'[3]Bardo-Stawy'!C59*0.1</f>
        <v>18.3</v>
      </c>
      <c r="C59" s="5">
        <v>53.005464480874316</v>
      </c>
      <c r="E59" s="51">
        <v>10.32</v>
      </c>
    </row>
    <row r="60" spans="1:11">
      <c r="A60">
        <v>91</v>
      </c>
      <c r="B60" s="5">
        <f>'[3]Bardo-Stawy'!C60*0.1</f>
        <v>32</v>
      </c>
      <c r="C60" s="5">
        <v>49.8125</v>
      </c>
      <c r="E60" s="51">
        <v>10.26</v>
      </c>
    </row>
    <row r="61" spans="1:11">
      <c r="A61">
        <v>90</v>
      </c>
      <c r="B61" s="5">
        <f>'[3]Bardo-Stawy'!C61*0.1</f>
        <v>37</v>
      </c>
      <c r="C61" s="5">
        <v>51.891891891891895</v>
      </c>
      <c r="E61" s="51">
        <v>10.220000000000001</v>
      </c>
    </row>
    <row r="62" spans="1:11">
      <c r="A62">
        <v>89</v>
      </c>
      <c r="B62" s="5">
        <f>'[3]Bardo-Stawy'!C62*0.1</f>
        <v>13</v>
      </c>
      <c r="C62" s="5">
        <v>65.846153846153854</v>
      </c>
      <c r="E62" s="51">
        <v>10.17</v>
      </c>
    </row>
    <row r="63" spans="1:11">
      <c r="A63">
        <v>88</v>
      </c>
      <c r="B63" s="5">
        <f>'[3]Bardo-Stawy'!C63*0.1</f>
        <v>24.200000000000003</v>
      </c>
      <c r="C63" s="5">
        <v>57.190082644628092</v>
      </c>
      <c r="E63" s="51">
        <v>10.119999999999999</v>
      </c>
    </row>
    <row r="64" spans="1:11">
      <c r="A64">
        <v>87</v>
      </c>
      <c r="B64" s="5">
        <f>'[3]Bardo-Stawy'!C64*0.1</f>
        <v>22.200000000000003</v>
      </c>
      <c r="C64" s="5">
        <v>51.171171171171167</v>
      </c>
      <c r="E64" s="51">
        <v>10</v>
      </c>
    </row>
    <row r="65" spans="1:5">
      <c r="A65">
        <v>86</v>
      </c>
      <c r="B65" s="5">
        <f>'[3]Bardo-Stawy'!C65*0.1</f>
        <v>43.400000000000006</v>
      </c>
      <c r="C65" s="5">
        <v>65.483870967741922</v>
      </c>
      <c r="E65" s="51">
        <v>9.93</v>
      </c>
    </row>
    <row r="66" spans="1:5">
      <c r="A66">
        <v>85</v>
      </c>
      <c r="B66" s="5">
        <f>'[3]Bardo-Stawy'!C66*0.1</f>
        <v>28.8</v>
      </c>
      <c r="C66" s="5">
        <v>53.611111111111107</v>
      </c>
      <c r="E66" s="51">
        <v>9.85</v>
      </c>
    </row>
    <row r="67" spans="1:5">
      <c r="A67">
        <v>84</v>
      </c>
      <c r="B67" s="5">
        <f>'[3]Bardo-Stawy'!C67*0.1</f>
        <v>42.2</v>
      </c>
      <c r="C67" s="5">
        <v>48.246445497630333</v>
      </c>
      <c r="E67" s="51">
        <v>9.76</v>
      </c>
    </row>
    <row r="68" spans="1:5">
      <c r="A68">
        <v>83</v>
      </c>
      <c r="B68" s="5">
        <f>'[3]Bardo-Stawy'!C68*0.1</f>
        <v>31.8</v>
      </c>
      <c r="C68" s="5">
        <v>53.459119496855344</v>
      </c>
      <c r="E68" s="51">
        <v>9.73</v>
      </c>
    </row>
    <row r="69" spans="1:5">
      <c r="A69">
        <v>82</v>
      </c>
      <c r="B69" s="5">
        <f>'[3]Bardo-Stawy'!C69*0.1</f>
        <v>35.4</v>
      </c>
      <c r="C69" s="5">
        <v>67.570621468926561</v>
      </c>
      <c r="E69" s="51">
        <v>9.67</v>
      </c>
    </row>
    <row r="70" spans="1:5">
      <c r="A70">
        <v>81</v>
      </c>
      <c r="B70" s="5">
        <f>'[3]Bardo-Stawy'!C70*0.1</f>
        <v>35</v>
      </c>
      <c r="C70" s="5">
        <v>61.771428571428572</v>
      </c>
      <c r="E70" s="51">
        <v>9.6199999999999992</v>
      </c>
    </row>
    <row r="71" spans="1:5">
      <c r="A71">
        <v>80</v>
      </c>
      <c r="B71" s="5">
        <f>'[3]Bardo-Stawy'!C71*0.1</f>
        <v>23.1</v>
      </c>
      <c r="C71" s="5">
        <v>52.987012987012982</v>
      </c>
      <c r="E71" s="51">
        <v>9.57</v>
      </c>
    </row>
    <row r="72" spans="1:5">
      <c r="A72">
        <v>79</v>
      </c>
      <c r="B72" s="5">
        <f>'[3]Bardo-Stawy'!C72*0.1</f>
        <v>34.9</v>
      </c>
      <c r="C72" s="5">
        <v>61.031518624641834</v>
      </c>
      <c r="E72" s="51">
        <v>9.5299999999999994</v>
      </c>
    </row>
    <row r="73" spans="1:5">
      <c r="A73">
        <v>78</v>
      </c>
      <c r="B73" s="5">
        <f>'[3]Bardo-Stawy'!C73*0.1</f>
        <v>49.900000000000006</v>
      </c>
      <c r="C73" s="5">
        <v>59.278557114228448</v>
      </c>
      <c r="E73" s="51">
        <v>9.49</v>
      </c>
    </row>
    <row r="74" spans="1:5">
      <c r="A74">
        <v>77</v>
      </c>
      <c r="B74" s="5">
        <f>'[3]Bardo-Stawy'!C74*0.1</f>
        <v>27.5</v>
      </c>
      <c r="C74" s="5">
        <v>56.218181818181826</v>
      </c>
      <c r="E74" s="51">
        <v>9.44</v>
      </c>
    </row>
    <row r="75" spans="1:5">
      <c r="A75">
        <v>76</v>
      </c>
      <c r="B75" s="5">
        <f>'[3]Bardo-Stawy'!C75*0.1</f>
        <v>24.700000000000003</v>
      </c>
      <c r="C75" s="5">
        <v>58.461538461538453</v>
      </c>
      <c r="E75" s="51">
        <v>9.3699999999999992</v>
      </c>
    </row>
    <row r="76" spans="1:5">
      <c r="A76">
        <v>75</v>
      </c>
      <c r="B76" s="5">
        <f>'[3]Bardo-Stawy'!C76*0.1</f>
        <v>21</v>
      </c>
      <c r="C76" s="5">
        <v>62.571428571428569</v>
      </c>
      <c r="E76" s="51">
        <v>9.33</v>
      </c>
    </row>
    <row r="77" spans="1:5">
      <c r="A77">
        <v>74</v>
      </c>
      <c r="B77" s="5">
        <f>'[3]Bardo-Stawy'!C77*0.1</f>
        <v>17.900000000000002</v>
      </c>
      <c r="C77" s="5">
        <v>60.335195530726253</v>
      </c>
      <c r="E77" s="51">
        <v>9.2899999999999991</v>
      </c>
    </row>
    <row r="78" spans="1:5">
      <c r="A78">
        <v>73</v>
      </c>
      <c r="B78" s="5">
        <f>'[3]Bardo-Stawy'!C78*0.1</f>
        <v>28.6</v>
      </c>
      <c r="C78" s="5">
        <v>62.237762237762233</v>
      </c>
      <c r="E78" s="51">
        <v>9.23</v>
      </c>
    </row>
    <row r="79" spans="1:5">
      <c r="A79">
        <v>72</v>
      </c>
      <c r="B79" s="5">
        <f>'[3]Bardo-Stawy'!C79*0.1</f>
        <v>29.6</v>
      </c>
      <c r="C79" s="5">
        <v>54.121621621621628</v>
      </c>
      <c r="E79" s="51">
        <v>9.18</v>
      </c>
    </row>
    <row r="80" spans="1:5">
      <c r="A80">
        <v>71</v>
      </c>
      <c r="B80" s="5">
        <f>'[3]Bardo-Stawy'!C80*0.1</f>
        <v>31.900000000000002</v>
      </c>
      <c r="C80" s="5">
        <v>64.200626959247643</v>
      </c>
      <c r="E80" s="51">
        <v>9.1199999999999992</v>
      </c>
    </row>
    <row r="81" spans="1:5">
      <c r="A81">
        <v>70</v>
      </c>
      <c r="B81" s="5">
        <f>'[3]Bardo-Stawy'!C81*0.1</f>
        <v>22.700000000000003</v>
      </c>
      <c r="C81" s="5">
        <v>60.881057268722472</v>
      </c>
      <c r="E81" s="51">
        <v>9.0500000000000007</v>
      </c>
    </row>
    <row r="82" spans="1:5">
      <c r="A82">
        <v>69</v>
      </c>
      <c r="B82" s="5">
        <f>'[3]Bardo-Stawy'!C82*0.1</f>
        <v>42.7</v>
      </c>
      <c r="C82" s="5">
        <v>80.562060889929739</v>
      </c>
      <c r="E82" s="51">
        <v>5.92</v>
      </c>
    </row>
    <row r="83" spans="1:5">
      <c r="A83">
        <v>68</v>
      </c>
      <c r="B83" s="5">
        <f>'[3]Bardo-Stawy'!C83*0.1</f>
        <v>46.800000000000004</v>
      </c>
      <c r="C83" s="5">
        <v>47.777777777777771</v>
      </c>
      <c r="E83" s="51">
        <v>5.83</v>
      </c>
    </row>
    <row r="84" spans="1:5">
      <c r="A84">
        <v>67</v>
      </c>
      <c r="B84" s="5">
        <f>'[3]Bardo-Stawy'!C84*0.1</f>
        <v>35.4</v>
      </c>
      <c r="C84" s="5">
        <v>27.683615819209042</v>
      </c>
      <c r="E84" s="51">
        <v>5.73</v>
      </c>
    </row>
    <row r="85" spans="1:5">
      <c r="A85">
        <v>66</v>
      </c>
      <c r="B85" s="5">
        <f>'[3]Bardo-Stawy'!C85*0.1</f>
        <v>25.400000000000002</v>
      </c>
      <c r="C85" s="5">
        <v>48.661417322834644</v>
      </c>
      <c r="E85" s="51">
        <v>5.62</v>
      </c>
    </row>
    <row r="86" spans="1:5">
      <c r="A86">
        <v>65</v>
      </c>
      <c r="B86" s="5">
        <f>'[3]Bardo-Stawy'!C86*0.1</f>
        <v>19</v>
      </c>
      <c r="C86" s="5">
        <v>48.842105263157897</v>
      </c>
      <c r="E86" s="51">
        <v>5.55</v>
      </c>
    </row>
    <row r="87" spans="1:5">
      <c r="A87">
        <v>64</v>
      </c>
      <c r="B87" s="5">
        <f>'[3]Bardo-Stawy'!C87*0.1</f>
        <v>46.7</v>
      </c>
      <c r="C87" s="5">
        <v>40.985010706638114</v>
      </c>
      <c r="E87" s="51">
        <v>5.46</v>
      </c>
    </row>
    <row r="88" spans="1:5">
      <c r="A88">
        <v>63</v>
      </c>
      <c r="B88" s="5">
        <f>'[3]Bardo-Stawy'!C88*0.1</f>
        <v>29.400000000000002</v>
      </c>
      <c r="C88" s="5">
        <v>48.571428571428569</v>
      </c>
      <c r="E88" s="51">
        <v>5.35</v>
      </c>
    </row>
    <row r="89" spans="1:5">
      <c r="A89">
        <v>62</v>
      </c>
      <c r="B89" s="5">
        <f>'[3]Bardo-Stawy'!C89*0.1</f>
        <v>35.800000000000004</v>
      </c>
      <c r="C89" s="5">
        <v>44.413407821229043</v>
      </c>
      <c r="E89" s="51">
        <v>5.26</v>
      </c>
    </row>
    <row r="90" spans="1:5">
      <c r="A90">
        <v>61</v>
      </c>
      <c r="B90" s="5">
        <f>'[3]Bardo-Stawy'!C90*0.1</f>
        <v>39.1</v>
      </c>
      <c r="C90" s="5">
        <v>46.393861892583118</v>
      </c>
      <c r="E90" s="51">
        <v>5.16</v>
      </c>
    </row>
    <row r="91" spans="1:5">
      <c r="A91">
        <v>60</v>
      </c>
      <c r="B91" s="5">
        <f>'[3]Bardo-Stawy'!C91*0.1</f>
        <v>56</v>
      </c>
      <c r="C91" s="5">
        <v>31.321428571428573</v>
      </c>
      <c r="E91" s="51">
        <v>5.0599999999999996</v>
      </c>
    </row>
    <row r="92" spans="1:5">
      <c r="A92">
        <v>59</v>
      </c>
      <c r="B92" s="5">
        <f>'[3]Bardo-Stawy'!C92*0.1</f>
        <v>38.900000000000006</v>
      </c>
      <c r="C92" s="5">
        <v>50.025706940874038</v>
      </c>
      <c r="E92" s="51">
        <v>4.95</v>
      </c>
    </row>
    <row r="93" spans="1:5">
      <c r="A93">
        <v>58</v>
      </c>
      <c r="B93" s="5">
        <f>'[3]Bardo-Stawy'!C93*0.1</f>
        <v>24.200000000000003</v>
      </c>
      <c r="C93" s="5">
        <v>27.107438016528928</v>
      </c>
      <c r="E93" s="51">
        <v>4.82</v>
      </c>
    </row>
    <row r="94" spans="1:5">
      <c r="A94">
        <v>57</v>
      </c>
      <c r="B94" s="5">
        <f>'[3]Bardo-Stawy'!C94*0.1</f>
        <v>61.7</v>
      </c>
      <c r="C94" s="5">
        <v>29.886547811993516</v>
      </c>
      <c r="E94" s="51">
        <v>4.72</v>
      </c>
    </row>
    <row r="95" spans="1:5">
      <c r="A95">
        <v>56</v>
      </c>
      <c r="B95" s="5">
        <f>'[3]Bardo-Stawy'!C95*0.1</f>
        <v>40.1</v>
      </c>
      <c r="C95" s="5">
        <v>109.22693266832917</v>
      </c>
      <c r="E95" s="51">
        <v>4.6100000000000003</v>
      </c>
    </row>
    <row r="96" spans="1:5">
      <c r="A96">
        <v>55</v>
      </c>
      <c r="B96" s="5">
        <f>'[3]Bardo-Stawy'!C96*0.1</f>
        <v>40</v>
      </c>
      <c r="C96" s="5">
        <v>44.550000000000004</v>
      </c>
      <c r="E96" s="51">
        <v>4.49</v>
      </c>
    </row>
    <row r="97" spans="1:5">
      <c r="A97">
        <v>54</v>
      </c>
      <c r="B97" s="5">
        <f>'[3]Bardo-Stawy'!C97*0.1</f>
        <v>34.9</v>
      </c>
      <c r="C97" s="5">
        <v>46.303724928366769</v>
      </c>
      <c r="E97" s="51">
        <v>4.45</v>
      </c>
    </row>
    <row r="98" spans="1:5">
      <c r="A98">
        <v>53</v>
      </c>
      <c r="B98" s="5">
        <f>'[3]Bardo-Stawy'!C98*0.1</f>
        <v>48.300000000000004</v>
      </c>
      <c r="C98" s="5">
        <v>36.06625258799172</v>
      </c>
      <c r="E98" s="51">
        <v>4.3899999999999997</v>
      </c>
    </row>
    <row r="99" spans="1:5">
      <c r="A99">
        <v>52</v>
      </c>
      <c r="B99" s="5">
        <f>'[3]Bardo-Stawy'!C99*0.1</f>
        <v>47.800000000000004</v>
      </c>
      <c r="C99" s="5">
        <v>33.221757322175726</v>
      </c>
      <c r="E99" s="51">
        <v>4.33</v>
      </c>
    </row>
    <row r="100" spans="1:5">
      <c r="A100">
        <v>51</v>
      </c>
      <c r="B100" s="5">
        <f>'[3]Bardo-Stawy'!C100*0.1</f>
        <v>50.900000000000006</v>
      </c>
      <c r="C100" s="5">
        <v>41.021611001964629</v>
      </c>
      <c r="E100" s="51">
        <v>4.29</v>
      </c>
    </row>
    <row r="101" spans="1:5">
      <c r="A101">
        <v>50</v>
      </c>
      <c r="B101" s="5">
        <f>'[3]Bardo-Stawy'!C101*0.1</f>
        <v>24.400000000000002</v>
      </c>
      <c r="C101" s="5">
        <v>35.327868852459012</v>
      </c>
      <c r="E101" s="51">
        <v>4.18</v>
      </c>
    </row>
    <row r="102" spans="1:5">
      <c r="A102">
        <v>49</v>
      </c>
      <c r="B102" s="5">
        <f>'[3]Bardo-Stawy'!C102*0.1</f>
        <v>28.8</v>
      </c>
      <c r="C102" s="5">
        <v>39.305555555555557</v>
      </c>
      <c r="E102" s="51">
        <v>4.08</v>
      </c>
    </row>
    <row r="103" spans="1:5">
      <c r="A103">
        <v>48</v>
      </c>
      <c r="B103" s="5">
        <f>'[3]Bardo-Stawy'!C103*0.1</f>
        <v>27.5</v>
      </c>
      <c r="C103" s="5">
        <v>37.527272727272724</v>
      </c>
      <c r="E103" s="51">
        <v>3.99</v>
      </c>
    </row>
    <row r="104" spans="1:5">
      <c r="A104">
        <v>47</v>
      </c>
      <c r="B104" s="5">
        <f>'[3]Bardo-Stawy'!C104*0.1</f>
        <v>33.1</v>
      </c>
      <c r="C104" s="5">
        <v>49.003021148036261</v>
      </c>
      <c r="E104" s="51">
        <v>3.89</v>
      </c>
    </row>
    <row r="105" spans="1:5">
      <c r="A105">
        <v>46</v>
      </c>
      <c r="B105" s="5">
        <f>'[3]Bardo-Stawy'!C105*0.1</f>
        <v>39</v>
      </c>
      <c r="C105" s="5">
        <v>52.820512820512818</v>
      </c>
      <c r="E105" s="51">
        <v>3.82</v>
      </c>
    </row>
    <row r="106" spans="1:5">
      <c r="A106">
        <v>45</v>
      </c>
      <c r="B106" s="5">
        <f>'[3]Bardo-Stawy'!C106*0.1</f>
        <v>48.400000000000006</v>
      </c>
      <c r="C106" s="5">
        <v>49.917355371900818</v>
      </c>
      <c r="E106" s="51">
        <v>3.75</v>
      </c>
    </row>
    <row r="107" spans="1:5">
      <c r="A107">
        <v>44</v>
      </c>
      <c r="B107" s="5">
        <f>'[3]Bardo-Stawy'!C107*0.1</f>
        <v>34</v>
      </c>
      <c r="C107" s="5">
        <v>46.117647058823529</v>
      </c>
      <c r="E107" s="51">
        <v>3.68</v>
      </c>
    </row>
    <row r="108" spans="1:5">
      <c r="A108">
        <v>43</v>
      </c>
      <c r="B108" s="5">
        <f>'[3]Bardo-Stawy'!C108*0.1</f>
        <v>24.5</v>
      </c>
      <c r="C108" s="5">
        <v>37.142857142857146</v>
      </c>
      <c r="E108" s="51">
        <v>3.61</v>
      </c>
    </row>
    <row r="109" spans="1:5">
      <c r="A109">
        <v>42</v>
      </c>
      <c r="B109" s="5">
        <f>'[3]Bardo-Stawy'!C109*0.1</f>
        <v>38.900000000000006</v>
      </c>
      <c r="C109" s="5">
        <v>50.437017994858607</v>
      </c>
      <c r="E109" s="51">
        <v>3.51</v>
      </c>
    </row>
    <row r="110" spans="1:5">
      <c r="A110">
        <v>41</v>
      </c>
      <c r="B110" s="5">
        <f>'[3]Bardo-Stawy'!C110*0.1</f>
        <v>58.1</v>
      </c>
      <c r="C110" s="5">
        <v>35.318416523235797</v>
      </c>
      <c r="E110" s="51">
        <v>3.45</v>
      </c>
    </row>
    <row r="111" spans="1:5">
      <c r="A111">
        <v>40</v>
      </c>
      <c r="B111" s="5">
        <f>'[3]Bardo-Stawy'!C111*0.1</f>
        <v>22.8</v>
      </c>
      <c r="C111" s="5">
        <v>44.824561403508774</v>
      </c>
      <c r="E111" s="51">
        <v>3.35</v>
      </c>
    </row>
    <row r="112" spans="1:5">
      <c r="A112">
        <v>39</v>
      </c>
      <c r="B112" s="5">
        <f>'[3]Bardo-Stawy'!C112*0.1</f>
        <v>40.900000000000006</v>
      </c>
      <c r="C112" s="5">
        <v>50.75794621026894</v>
      </c>
      <c r="E112" s="51">
        <v>3.25</v>
      </c>
    </row>
    <row r="113" spans="1:5">
      <c r="A113">
        <v>38</v>
      </c>
      <c r="B113" s="5">
        <f>'[3]Bardo-Stawy'!C113*0.1</f>
        <v>58.7</v>
      </c>
      <c r="C113" s="5">
        <v>49.301533219761502</v>
      </c>
      <c r="E113" s="51">
        <v>3.15</v>
      </c>
    </row>
    <row r="114" spans="1:5">
      <c r="A114">
        <v>37</v>
      </c>
      <c r="B114" s="5">
        <f>'[3]Bardo-Stawy'!C114*0.1</f>
        <v>61.300000000000004</v>
      </c>
      <c r="C114" s="5">
        <v>36.084828711256115</v>
      </c>
      <c r="E114" s="51">
        <v>3.05</v>
      </c>
    </row>
    <row r="115" spans="1:5">
      <c r="A115">
        <v>36</v>
      </c>
      <c r="B115" s="5">
        <f>'[3]Bardo-Stawy'!C115*0.1</f>
        <v>39</v>
      </c>
      <c r="C115" s="5">
        <v>38.102564102564102</v>
      </c>
      <c r="E115" s="51">
        <v>2.97</v>
      </c>
    </row>
    <row r="116" spans="1:5">
      <c r="A116">
        <v>35</v>
      </c>
      <c r="B116" s="5">
        <f>'[3]Bardo-Stawy'!C116*0.1</f>
        <v>43.5</v>
      </c>
      <c r="C116" s="5">
        <v>64.183908045977006</v>
      </c>
      <c r="E116" s="51">
        <v>2.82</v>
      </c>
    </row>
    <row r="117" spans="1:5">
      <c r="A117">
        <v>34</v>
      </c>
      <c r="B117" s="5">
        <f>'[3]Bardo-Stawy'!C117*0.1</f>
        <v>17.5</v>
      </c>
      <c r="C117" s="5">
        <v>36.342857142857142</v>
      </c>
      <c r="E117" s="51">
        <v>2.76</v>
      </c>
    </row>
    <row r="118" spans="1:5">
      <c r="A118">
        <v>33</v>
      </c>
      <c r="B118" s="5">
        <f>'[3]Bardo-Stawy'!C118*0.1</f>
        <v>28.900000000000002</v>
      </c>
      <c r="C118" s="5">
        <v>72.87197231833909</v>
      </c>
      <c r="E118" s="51">
        <v>2.71</v>
      </c>
    </row>
    <row r="119" spans="1:5">
      <c r="A119">
        <v>32</v>
      </c>
      <c r="B119" s="5">
        <f>'[3]Bardo-Stawy'!C119*0.1</f>
        <v>48.900000000000006</v>
      </c>
      <c r="C119" s="5">
        <v>47.321063394683023</v>
      </c>
      <c r="E119" s="51">
        <v>2.62</v>
      </c>
    </row>
    <row r="120" spans="1:5">
      <c r="A120">
        <v>31</v>
      </c>
      <c r="B120" s="5">
        <f>'[3]Bardo-Stawy'!C120*0.1</f>
        <v>48.5</v>
      </c>
      <c r="C120" s="5">
        <v>48.494845360824741</v>
      </c>
      <c r="E120" s="51">
        <v>2.5299999999999998</v>
      </c>
    </row>
    <row r="121" spans="1:5">
      <c r="A121">
        <v>30</v>
      </c>
      <c r="B121" s="5">
        <f>'[3]Bardo-Stawy'!C121*0.1</f>
        <v>57.400000000000006</v>
      </c>
      <c r="C121" s="5">
        <v>47.979094076655052</v>
      </c>
      <c r="E121" s="51">
        <v>2.46</v>
      </c>
    </row>
    <row r="122" spans="1:5">
      <c r="A122">
        <v>29</v>
      </c>
      <c r="B122" s="5">
        <f>'[3]Bardo-Stawy'!C122*0.1</f>
        <v>47.7</v>
      </c>
      <c r="C122" s="5">
        <v>42.935010482180289</v>
      </c>
      <c r="E122" s="51">
        <v>2.38</v>
      </c>
    </row>
    <row r="123" spans="1:5">
      <c r="A123">
        <v>28</v>
      </c>
      <c r="B123" s="5">
        <f>'[3]Bardo-Stawy'!C123*0.1</f>
        <v>43.800000000000004</v>
      </c>
      <c r="C123" s="5">
        <v>79.954337899543376</v>
      </c>
      <c r="E123" s="51">
        <v>2.2999999999999998</v>
      </c>
    </row>
    <row r="124" spans="1:5">
      <c r="A124">
        <v>27</v>
      </c>
      <c r="B124" s="5">
        <f>'[3]Bardo-Stawy'!C124*0.1</f>
        <v>31</v>
      </c>
      <c r="C124" s="5">
        <v>56.645161290322591</v>
      </c>
      <c r="E124" s="51">
        <v>2.2000000000000002</v>
      </c>
    </row>
    <row r="125" spans="1:5">
      <c r="A125">
        <v>26</v>
      </c>
      <c r="B125" s="5">
        <f>'[3]Bardo-Stawy'!C125*0.1</f>
        <v>42.400000000000006</v>
      </c>
      <c r="C125" s="5">
        <v>37.405660377358494</v>
      </c>
      <c r="E125" s="51">
        <v>2.1</v>
      </c>
    </row>
    <row r="126" spans="1:5">
      <c r="A126">
        <v>25</v>
      </c>
      <c r="B126" s="5">
        <f>'[3]Bardo-Stawy'!C126*0.1</f>
        <v>25</v>
      </c>
      <c r="C126" s="5">
        <v>55.92</v>
      </c>
      <c r="E126" s="51">
        <v>1.99</v>
      </c>
    </row>
    <row r="127" spans="1:5">
      <c r="A127">
        <v>24</v>
      </c>
      <c r="B127" s="5">
        <f>'[3]Bardo-Stawy'!C127*0.1</f>
        <v>38.700000000000003</v>
      </c>
      <c r="C127" s="5">
        <v>52.97157622739018</v>
      </c>
      <c r="E127" s="51">
        <v>1.88</v>
      </c>
    </row>
    <row r="128" spans="1:5">
      <c r="A128">
        <v>23</v>
      </c>
      <c r="B128" s="5">
        <f>'[3]Bardo-Stawy'!C128*0.1</f>
        <v>22.3</v>
      </c>
      <c r="C128" s="5">
        <v>48.789237668161434</v>
      </c>
      <c r="E128" s="51">
        <v>1.78</v>
      </c>
    </row>
    <row r="129" spans="1:5">
      <c r="A129">
        <v>22</v>
      </c>
      <c r="B129" s="5">
        <f>'[3]Bardo-Stawy'!C129*0.1</f>
        <v>18.400000000000002</v>
      </c>
      <c r="C129" s="5">
        <v>52.934782608695649</v>
      </c>
      <c r="E129" s="51">
        <v>1.68</v>
      </c>
    </row>
    <row r="130" spans="1:5">
      <c r="A130">
        <v>21</v>
      </c>
      <c r="B130" s="5">
        <f>'[3]Bardo-Stawy'!C130*0.1</f>
        <v>15.8</v>
      </c>
      <c r="C130" s="5">
        <v>53.291139240506325</v>
      </c>
      <c r="E130" s="51">
        <v>1.64</v>
      </c>
    </row>
    <row r="131" spans="1:5">
      <c r="A131">
        <v>20</v>
      </c>
      <c r="B131" s="5">
        <f>'[3]Bardo-Stawy'!C131*0.1</f>
        <v>26.700000000000003</v>
      </c>
      <c r="C131" s="5">
        <v>60.149812734082396</v>
      </c>
      <c r="E131" s="51">
        <v>1.58</v>
      </c>
    </row>
    <row r="132" spans="1:5">
      <c r="A132">
        <v>19</v>
      </c>
      <c r="B132" s="5">
        <f>'[3]Bardo-Stawy'!C132*0.1</f>
        <v>2.9000000000000004</v>
      </c>
      <c r="C132" s="5"/>
      <c r="E132" s="51">
        <v>1.48</v>
      </c>
    </row>
    <row r="133" spans="1:5">
      <c r="A133">
        <v>18</v>
      </c>
      <c r="B133" s="5">
        <f>'[3]Bardo-Stawy'!C133*0.1</f>
        <v>34</v>
      </c>
      <c r="C133" s="5">
        <v>57.411764705882362</v>
      </c>
      <c r="E133" s="51">
        <v>1.38</v>
      </c>
    </row>
    <row r="134" spans="1:5">
      <c r="A134" s="689" t="s">
        <v>2297</v>
      </c>
      <c r="B134" s="5">
        <f>'[3]Bardo-Stawy'!C134*0.1</f>
        <v>30.700000000000003</v>
      </c>
      <c r="C134" s="5">
        <v>58.762214983713349</v>
      </c>
      <c r="E134" s="51">
        <v>1.32</v>
      </c>
    </row>
    <row r="135" spans="1:5">
      <c r="A135">
        <v>17</v>
      </c>
      <c r="B135" s="5">
        <f>'[3]Bardo-Stawy'!C135*0.1</f>
        <v>48.1</v>
      </c>
      <c r="C135" s="5">
        <v>56.590436590436589</v>
      </c>
      <c r="E135" s="51">
        <v>1.29</v>
      </c>
    </row>
    <row r="136" spans="1:5">
      <c r="A136">
        <v>16</v>
      </c>
      <c r="B136" s="5">
        <f>'[3]Bardo-Stawy'!C136*0.1</f>
        <v>26.400000000000002</v>
      </c>
      <c r="C136" s="5">
        <v>62.803030303030297</v>
      </c>
      <c r="E136" s="51">
        <v>1.21</v>
      </c>
    </row>
    <row r="137" spans="1:5">
      <c r="A137">
        <v>15</v>
      </c>
      <c r="B137" s="5">
        <f>'[3]Bardo-Stawy'!C137*0.1</f>
        <v>23.1</v>
      </c>
      <c r="C137" s="5">
        <v>63.636363636363633</v>
      </c>
      <c r="E137" s="51">
        <v>1.1299999999999999</v>
      </c>
    </row>
    <row r="138" spans="1:5">
      <c r="A138">
        <v>14</v>
      </c>
      <c r="B138" s="5">
        <f>'[3]Bardo-Stawy'!C138*0.1</f>
        <v>31.200000000000003</v>
      </c>
      <c r="C138" s="5">
        <v>58.205128205128204</v>
      </c>
      <c r="E138" s="51">
        <v>1.04</v>
      </c>
    </row>
    <row r="139" spans="1:5">
      <c r="A139">
        <v>13</v>
      </c>
      <c r="B139" s="5">
        <f>'[3]Bardo-Stawy'!C139*0.1</f>
        <v>24.900000000000002</v>
      </c>
      <c r="C139" s="5">
        <v>62.811244979919671</v>
      </c>
      <c r="E139" s="51">
        <v>0.96</v>
      </c>
    </row>
    <row r="140" spans="1:5">
      <c r="A140">
        <v>12</v>
      </c>
      <c r="B140" s="5">
        <f>'[3]Bardo-Stawy'!C140*0.1</f>
        <v>45.900000000000006</v>
      </c>
      <c r="C140" s="5">
        <v>63.965141612200426</v>
      </c>
      <c r="E140" s="51">
        <v>0.86</v>
      </c>
    </row>
    <row r="141" spans="1:5">
      <c r="A141">
        <v>11</v>
      </c>
      <c r="B141" s="5">
        <f>'[3]Bardo-Stawy'!C141*0.1</f>
        <v>35.5</v>
      </c>
      <c r="C141" s="5">
        <v>59.661971830985912</v>
      </c>
      <c r="E141" s="51">
        <v>0.77</v>
      </c>
    </row>
    <row r="142" spans="1:5">
      <c r="A142">
        <v>10</v>
      </c>
      <c r="B142" s="5">
        <f>'[3]Bardo-Stawy'!C142*0.1</f>
        <v>31.200000000000003</v>
      </c>
      <c r="C142" s="5">
        <v>68.84615384615384</v>
      </c>
      <c r="E142" s="51">
        <v>0.69</v>
      </c>
    </row>
    <row r="143" spans="1:5">
      <c r="A143">
        <v>9</v>
      </c>
      <c r="B143" s="5">
        <f>'[3]Bardo-Stawy'!C143*0.1</f>
        <v>33.1</v>
      </c>
      <c r="C143" s="5">
        <v>54.743202416918436</v>
      </c>
      <c r="E143" s="51">
        <v>0.62</v>
      </c>
    </row>
    <row r="144" spans="1:5">
      <c r="A144">
        <v>8</v>
      </c>
      <c r="B144" s="5">
        <f>'[3]Bardo-Stawy'!C144*0.1</f>
        <v>20.900000000000002</v>
      </c>
      <c r="C144" s="5">
        <v>57.703349282296642</v>
      </c>
      <c r="E144" s="51">
        <v>0.54</v>
      </c>
    </row>
    <row r="145" spans="1:5">
      <c r="A145">
        <v>7</v>
      </c>
      <c r="B145" s="5">
        <f>'[3]Bardo-Stawy'!C145*0.1</f>
        <v>28.5</v>
      </c>
      <c r="C145" s="5">
        <v>58.035087719298247</v>
      </c>
      <c r="E145" s="51">
        <v>0.49</v>
      </c>
    </row>
    <row r="146" spans="1:5">
      <c r="A146">
        <v>6</v>
      </c>
      <c r="B146" s="5">
        <f>'[3]Bardo-Stawy'!C146*0.1</f>
        <v>22.6</v>
      </c>
      <c r="C146" s="5">
        <v>66.725663716814154</v>
      </c>
      <c r="E146" s="51">
        <v>0.43</v>
      </c>
    </row>
    <row r="147" spans="1:5">
      <c r="A147">
        <v>5</v>
      </c>
      <c r="B147" s="5">
        <f>'[3]Bardo-Stawy'!C147*0.1</f>
        <v>20</v>
      </c>
      <c r="C147" s="5">
        <v>61</v>
      </c>
      <c r="E147" s="51">
        <v>0.34</v>
      </c>
    </row>
    <row r="148" spans="1:5">
      <c r="A148">
        <v>4</v>
      </c>
      <c r="B148" s="5">
        <f>'[3]Bardo-Stawy'!C148*0.1</f>
        <v>37.300000000000004</v>
      </c>
      <c r="C148" s="5">
        <v>57.694369973190341</v>
      </c>
      <c r="E148" s="51">
        <v>0.27</v>
      </c>
    </row>
    <row r="149" spans="1:5">
      <c r="A149">
        <v>3</v>
      </c>
      <c r="B149" s="5">
        <f>'[3]Bardo-Stawy'!C149*0.1</f>
        <v>49.6</v>
      </c>
      <c r="C149" s="5">
        <v>50.161290322580641</v>
      </c>
      <c r="E149" s="51">
        <v>0.17</v>
      </c>
    </row>
    <row r="150" spans="1:5">
      <c r="A150">
        <v>2</v>
      </c>
      <c r="B150" s="5">
        <f>'[3]Bardo-Stawy'!C150*0.1</f>
        <v>14.3</v>
      </c>
      <c r="C150" s="5">
        <v>48.531468531468526</v>
      </c>
      <c r="E150" s="51">
        <v>0.09</v>
      </c>
    </row>
    <row r="151" spans="1:5">
      <c r="A151">
        <v>1</v>
      </c>
      <c r="B151" s="5">
        <f>'[3]Bardo-Stawy'!C151*0.1</f>
        <v>27.400000000000002</v>
      </c>
      <c r="C151" s="5">
        <v>60.437956204379567</v>
      </c>
      <c r="E151" s="51">
        <v>0.02</v>
      </c>
    </row>
  </sheetData>
  <mergeCells count="1">
    <mergeCell ref="G2:K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Z450"/>
  <sheetViews>
    <sheetView workbookViewId="0">
      <selection sqref="A1:XFD1048576"/>
    </sheetView>
  </sheetViews>
  <sheetFormatPr defaultRowHeight="15"/>
  <cols>
    <col min="1" max="1" width="11.7109375" customWidth="1"/>
    <col min="2" max="2" width="9.140625" style="51"/>
    <col min="8" max="8" width="10.7109375" customWidth="1"/>
    <col min="9" max="9" width="9.140625" style="51"/>
    <col min="12" max="12" width="9.140625" style="51"/>
    <col min="23" max="23" width="10.5703125" customWidth="1"/>
  </cols>
  <sheetData>
    <row r="1" spans="1:26" ht="21">
      <c r="B1" s="690" t="s">
        <v>2298</v>
      </c>
    </row>
    <row r="2" spans="1:26" s="152" customFormat="1" ht="45">
      <c r="A2" s="152" t="s">
        <v>2299</v>
      </c>
      <c r="B2" s="153"/>
      <c r="D2" s="152" t="s">
        <v>2300</v>
      </c>
      <c r="H2" s="152" t="s">
        <v>2301</v>
      </c>
      <c r="I2" s="153"/>
      <c r="K2" s="152" t="s">
        <v>2302</v>
      </c>
      <c r="L2" s="153"/>
      <c r="W2" s="152" t="s">
        <v>2303</v>
      </c>
    </row>
    <row r="3" spans="1:26" s="152" customFormat="1" ht="45">
      <c r="A3" s="152" t="s">
        <v>2304</v>
      </c>
      <c r="B3" s="153" t="s">
        <v>2305</v>
      </c>
      <c r="C3" s="152" t="s">
        <v>2306</v>
      </c>
      <c r="D3" s="152" t="s">
        <v>2307</v>
      </c>
      <c r="E3" s="152" t="s">
        <v>2305</v>
      </c>
      <c r="F3" s="152" t="s">
        <v>2306</v>
      </c>
      <c r="G3" s="152" t="s">
        <v>2308</v>
      </c>
      <c r="H3" s="152" t="s">
        <v>2307</v>
      </c>
      <c r="I3" s="153" t="s">
        <v>2305</v>
      </c>
      <c r="J3" s="152" t="s">
        <v>2306</v>
      </c>
      <c r="K3" s="152" t="s">
        <v>2309</v>
      </c>
      <c r="L3" s="153" t="s">
        <v>2305</v>
      </c>
      <c r="M3" s="152" t="s">
        <v>2306</v>
      </c>
      <c r="W3" s="152" t="s">
        <v>2310</v>
      </c>
    </row>
    <row r="4" spans="1:26">
      <c r="A4">
        <v>1</v>
      </c>
      <c r="B4" s="51">
        <v>66</v>
      </c>
      <c r="C4">
        <v>1.1894354594667296</v>
      </c>
      <c r="D4" t="s">
        <v>1360</v>
      </c>
      <c r="E4">
        <v>74.900000000000006</v>
      </c>
      <c r="F4">
        <v>1.9431606530181353</v>
      </c>
      <c r="G4">
        <v>0.253</v>
      </c>
      <c r="H4">
        <v>200</v>
      </c>
      <c r="I4" s="51">
        <v>77.845144750484081</v>
      </c>
      <c r="J4">
        <v>0.69286151806962748</v>
      </c>
      <c r="K4" t="s">
        <v>2311</v>
      </c>
      <c r="L4" s="51">
        <v>77.845144750484081</v>
      </c>
      <c r="M4">
        <v>1.1465000000000001</v>
      </c>
      <c r="O4" t="s">
        <v>2312</v>
      </c>
      <c r="X4" t="s">
        <v>2313</v>
      </c>
    </row>
    <row r="5" spans="1:26">
      <c r="A5">
        <v>2</v>
      </c>
      <c r="B5" s="51">
        <v>73.7</v>
      </c>
      <c r="C5">
        <v>0.75484739350285579</v>
      </c>
      <c r="D5" t="s">
        <v>1363</v>
      </c>
      <c r="E5">
        <v>74.900000000000006</v>
      </c>
      <c r="F5">
        <v>1.927687407780617</v>
      </c>
      <c r="H5">
        <v>201</v>
      </c>
      <c r="I5" s="51">
        <v>76.354309044641113</v>
      </c>
      <c r="J5">
        <v>0.64361786100282947</v>
      </c>
      <c r="K5" t="s">
        <v>2314</v>
      </c>
      <c r="L5" s="51">
        <v>77.696061179899786</v>
      </c>
      <c r="M5">
        <v>1.0443</v>
      </c>
      <c r="O5" t="s">
        <v>2315</v>
      </c>
      <c r="X5" t="s">
        <v>2316</v>
      </c>
      <c r="Y5" t="s">
        <v>2317</v>
      </c>
    </row>
    <row r="6" spans="1:26">
      <c r="A6">
        <v>3</v>
      </c>
      <c r="B6" s="51">
        <v>74.7</v>
      </c>
      <c r="C6">
        <v>1.2492307465535601</v>
      </c>
      <c r="D6" t="s">
        <v>1365</v>
      </c>
      <c r="E6">
        <v>74.900000000000006</v>
      </c>
      <c r="F6">
        <v>1.8117882526238263</v>
      </c>
      <c r="H6">
        <v>202</v>
      </c>
      <c r="I6" s="51">
        <v>73.274166975080234</v>
      </c>
      <c r="J6">
        <v>1.1057981956423926</v>
      </c>
      <c r="K6" t="s">
        <v>2318</v>
      </c>
      <c r="L6" s="51">
        <v>77.546977609315476</v>
      </c>
      <c r="M6">
        <v>1.2332999999999998</v>
      </c>
      <c r="O6" t="s">
        <v>2319</v>
      </c>
      <c r="W6">
        <v>215.5</v>
      </c>
      <c r="Z6" t="s">
        <v>2320</v>
      </c>
    </row>
    <row r="7" spans="1:26">
      <c r="A7">
        <v>4</v>
      </c>
      <c r="B7" s="51">
        <v>75.5</v>
      </c>
      <c r="C7">
        <v>0.86545049502966986</v>
      </c>
      <c r="D7" t="s">
        <v>1366</v>
      </c>
      <c r="E7">
        <v>74.900000000000006</v>
      </c>
      <c r="F7">
        <v>1.8670719941078988</v>
      </c>
      <c r="H7">
        <v>203</v>
      </c>
      <c r="I7" s="51">
        <v>66.648004546657646</v>
      </c>
      <c r="J7">
        <v>1.3569565004511532</v>
      </c>
      <c r="K7" t="s">
        <v>2321</v>
      </c>
      <c r="L7" s="51">
        <v>77.397894038731181</v>
      </c>
      <c r="M7">
        <v>0.98686249999999998</v>
      </c>
      <c r="O7" t="s">
        <v>2322</v>
      </c>
      <c r="W7">
        <v>160</v>
      </c>
      <c r="X7">
        <v>160</v>
      </c>
      <c r="Z7" t="s">
        <v>2323</v>
      </c>
    </row>
    <row r="8" spans="1:26">
      <c r="A8">
        <v>5</v>
      </c>
      <c r="B8" s="51">
        <v>76.099999999999994</v>
      </c>
      <c r="C8">
        <v>0.47088160975189181</v>
      </c>
      <c r="D8" t="s">
        <v>2324</v>
      </c>
      <c r="E8">
        <v>79.2</v>
      </c>
      <c r="F8">
        <v>2.3124507929366778</v>
      </c>
      <c r="G8">
        <v>6.5000000000000002E-2</v>
      </c>
      <c r="H8">
        <v>204</v>
      </c>
      <c r="I8" s="51">
        <v>65.656475638058325</v>
      </c>
      <c r="J8">
        <v>1.4005172085480693</v>
      </c>
      <c r="K8" t="s">
        <v>2325</v>
      </c>
      <c r="L8" s="51">
        <v>77.248810468146885</v>
      </c>
      <c r="M8">
        <v>1.0974375000000001</v>
      </c>
      <c r="O8" t="s">
        <v>2326</v>
      </c>
      <c r="W8">
        <v>152.30000000000001</v>
      </c>
      <c r="X8">
        <v>152.30000000000001</v>
      </c>
      <c r="Z8" t="s">
        <v>2327</v>
      </c>
    </row>
    <row r="9" spans="1:26">
      <c r="A9">
        <v>6</v>
      </c>
      <c r="B9" s="51">
        <v>76.97</v>
      </c>
      <c r="C9">
        <v>0.6620811417221466</v>
      </c>
      <c r="D9" t="s">
        <v>2328</v>
      </c>
      <c r="E9">
        <v>79.2</v>
      </c>
      <c r="F9">
        <v>0.68457983912373777</v>
      </c>
      <c r="H9">
        <v>205</v>
      </c>
      <c r="I9" s="51">
        <v>65.276475638058329</v>
      </c>
      <c r="J9">
        <v>1.5025578224202472</v>
      </c>
      <c r="K9" t="s">
        <v>2329</v>
      </c>
      <c r="L9" s="51">
        <v>77.09972689756259</v>
      </c>
      <c r="M9">
        <v>0.98686249999999998</v>
      </c>
      <c r="O9" t="s">
        <v>2330</v>
      </c>
      <c r="W9">
        <v>141</v>
      </c>
      <c r="X9">
        <v>141</v>
      </c>
      <c r="Z9" t="s">
        <v>2331</v>
      </c>
    </row>
    <row r="10" spans="1:26">
      <c r="A10">
        <v>7</v>
      </c>
      <c r="B10" s="51">
        <v>77.78</v>
      </c>
      <c r="C10">
        <v>0.54819996114025593</v>
      </c>
      <c r="D10" t="s">
        <v>2332</v>
      </c>
      <c r="E10">
        <v>79.2</v>
      </c>
      <c r="F10">
        <v>0.63558317127543529</v>
      </c>
      <c r="H10">
        <v>206</v>
      </c>
      <c r="I10" s="51">
        <v>64.896475638058348</v>
      </c>
      <c r="J10">
        <v>1.561587968192121</v>
      </c>
      <c r="K10" t="s">
        <v>2333</v>
      </c>
      <c r="L10" s="51">
        <v>76.950643326978295</v>
      </c>
      <c r="M10">
        <v>1.1465000000000001</v>
      </c>
      <c r="O10" t="s">
        <v>2334</v>
      </c>
      <c r="W10">
        <v>118.4</v>
      </c>
      <c r="X10">
        <v>118.4</v>
      </c>
      <c r="Z10" t="s">
        <v>2335</v>
      </c>
    </row>
    <row r="11" spans="1:26">
      <c r="A11">
        <v>8</v>
      </c>
      <c r="B11" s="51">
        <v>78.59</v>
      </c>
      <c r="C11">
        <v>0.6656878359546089</v>
      </c>
      <c r="D11" t="s">
        <v>2336</v>
      </c>
      <c r="E11">
        <v>82.5</v>
      </c>
      <c r="F11">
        <v>0.70588235294117652</v>
      </c>
      <c r="G11">
        <v>0.129</v>
      </c>
      <c r="H11">
        <v>207</v>
      </c>
      <c r="I11" s="51">
        <v>64.599999999999994</v>
      </c>
      <c r="J11">
        <v>1.1914255791385224</v>
      </c>
      <c r="K11" t="s">
        <v>2337</v>
      </c>
      <c r="L11" s="51">
        <v>76.801559756393999</v>
      </c>
      <c r="M11">
        <v>0.98686249999999998</v>
      </c>
      <c r="O11" t="s">
        <v>2338</v>
      </c>
      <c r="W11">
        <v>109.45</v>
      </c>
      <c r="Y11">
        <v>34.549999999999997</v>
      </c>
      <c r="Z11" t="s">
        <v>2339</v>
      </c>
    </row>
    <row r="12" spans="1:26">
      <c r="A12">
        <v>9</v>
      </c>
      <c r="B12" s="51">
        <v>79.805000000000007</v>
      </c>
      <c r="C12">
        <v>0.62364676647147055</v>
      </c>
      <c r="D12" t="s">
        <v>2340</v>
      </c>
      <c r="E12">
        <v>82.5</v>
      </c>
      <c r="F12">
        <v>0.71389618759605378</v>
      </c>
      <c r="H12">
        <v>208</v>
      </c>
      <c r="I12" s="51">
        <v>62.162371384527248</v>
      </c>
      <c r="J12">
        <v>1.0939817580219737</v>
      </c>
      <c r="K12" t="s">
        <v>2341</v>
      </c>
      <c r="L12" s="51">
        <v>76.652476185809704</v>
      </c>
      <c r="M12">
        <v>0.70961250000000009</v>
      </c>
      <c r="O12" t="s">
        <v>2342</v>
      </c>
      <c r="W12">
        <v>97.7</v>
      </c>
      <c r="Y12">
        <v>22.8</v>
      </c>
      <c r="Z12" t="s">
        <v>2343</v>
      </c>
    </row>
    <row r="13" spans="1:26">
      <c r="A13">
        <v>10</v>
      </c>
      <c r="B13" s="51">
        <v>80.305000000000007</v>
      </c>
      <c r="C13">
        <v>0.51223247553894902</v>
      </c>
      <c r="D13" t="s">
        <v>2344</v>
      </c>
      <c r="E13">
        <v>94.9</v>
      </c>
      <c r="F13">
        <v>2.0275990518117166</v>
      </c>
      <c r="G13">
        <v>0.191</v>
      </c>
      <c r="H13">
        <v>209</v>
      </c>
      <c r="I13" s="51">
        <v>56.907300588372848</v>
      </c>
      <c r="J13">
        <v>1.2448924272390496</v>
      </c>
      <c r="K13" t="s">
        <v>2345</v>
      </c>
      <c r="L13" s="51">
        <v>76.503392615225408</v>
      </c>
      <c r="M13">
        <v>0.70961250000000009</v>
      </c>
      <c r="O13" t="s">
        <v>2346</v>
      </c>
      <c r="W13">
        <v>91.9</v>
      </c>
      <c r="Y13">
        <v>17</v>
      </c>
      <c r="Z13" t="s">
        <v>2347</v>
      </c>
    </row>
    <row r="14" spans="1:26">
      <c r="A14">
        <v>11</v>
      </c>
      <c r="B14" s="51">
        <v>80.805000000000007</v>
      </c>
      <c r="C14">
        <v>0.82068300558333518</v>
      </c>
      <c r="D14" t="s">
        <v>2348</v>
      </c>
      <c r="E14">
        <v>94.9</v>
      </c>
      <c r="F14">
        <v>2.0163492863140218</v>
      </c>
      <c r="H14">
        <v>210</v>
      </c>
      <c r="I14" s="51">
        <v>51.098953020238369</v>
      </c>
      <c r="J14">
        <v>1.3405281817130181</v>
      </c>
      <c r="K14" t="s">
        <v>2349</v>
      </c>
      <c r="L14" s="51">
        <v>76.354309044641113</v>
      </c>
      <c r="M14">
        <v>1.0443</v>
      </c>
      <c r="O14" t="s">
        <v>2350</v>
      </c>
      <c r="W14">
        <v>87.7</v>
      </c>
      <c r="Y14">
        <v>12.8</v>
      </c>
      <c r="Z14" t="s">
        <v>2351</v>
      </c>
    </row>
    <row r="15" spans="1:26">
      <c r="A15">
        <v>12</v>
      </c>
      <c r="B15" s="51">
        <v>82.105000000000004</v>
      </c>
      <c r="C15">
        <v>0.85286807349286031</v>
      </c>
      <c r="D15" t="s">
        <v>2352</v>
      </c>
      <c r="E15">
        <v>94.9</v>
      </c>
      <c r="F15">
        <v>2.0422246884070341</v>
      </c>
      <c r="H15">
        <v>211</v>
      </c>
      <c r="I15" s="51">
        <v>47.884897778247158</v>
      </c>
      <c r="J15">
        <v>1.4629953610855426</v>
      </c>
      <c r="K15" t="s">
        <v>2353</v>
      </c>
      <c r="L15" s="51">
        <v>76.205225474056817</v>
      </c>
      <c r="M15">
        <v>1.0443</v>
      </c>
      <c r="W15">
        <v>83</v>
      </c>
      <c r="Y15">
        <v>8.1</v>
      </c>
      <c r="Z15" t="s">
        <v>2354</v>
      </c>
    </row>
    <row r="16" spans="1:26">
      <c r="A16">
        <v>13</v>
      </c>
      <c r="B16" s="51">
        <v>99.8</v>
      </c>
      <c r="C16">
        <v>0.89057987816445705</v>
      </c>
      <c r="D16" t="s">
        <v>2355</v>
      </c>
      <c r="E16">
        <v>89.5</v>
      </c>
      <c r="F16">
        <v>1.0750415219688962</v>
      </c>
      <c r="G16">
        <v>9.8000000000000004E-2</v>
      </c>
      <c r="H16">
        <v>212</v>
      </c>
      <c r="I16" s="51">
        <v>46.229172350554727</v>
      </c>
      <c r="J16">
        <v>1.3278079390065001</v>
      </c>
      <c r="K16" t="s">
        <v>2356</v>
      </c>
      <c r="L16" s="51">
        <v>76.056141903472522</v>
      </c>
      <c r="M16">
        <v>1.2714874999999999</v>
      </c>
      <c r="W16">
        <v>80.040000000000006</v>
      </c>
      <c r="Y16">
        <v>5.14</v>
      </c>
      <c r="Z16" t="s">
        <v>2357</v>
      </c>
    </row>
    <row r="17" spans="1:26">
      <c r="A17">
        <v>14</v>
      </c>
      <c r="B17" s="51">
        <v>100.84</v>
      </c>
      <c r="C17">
        <v>2.0636443696683711</v>
      </c>
      <c r="D17" t="s">
        <v>2358</v>
      </c>
      <c r="E17">
        <v>89.5</v>
      </c>
      <c r="F17">
        <v>0.83201434197378465</v>
      </c>
      <c r="H17">
        <v>213</v>
      </c>
      <c r="I17" s="51">
        <v>44.122485744444006</v>
      </c>
      <c r="J17">
        <v>1.5212821027499288</v>
      </c>
      <c r="K17" t="s">
        <v>2359</v>
      </c>
      <c r="L17" s="51">
        <v>75.907058332888226</v>
      </c>
      <c r="M17">
        <v>0.78650000000000009</v>
      </c>
      <c r="W17">
        <v>77.900000000000006</v>
      </c>
      <c r="Y17">
        <v>3</v>
      </c>
      <c r="Z17" t="s">
        <v>2360</v>
      </c>
    </row>
    <row r="18" spans="1:26">
      <c r="A18">
        <v>15</v>
      </c>
      <c r="B18" s="51">
        <v>103</v>
      </c>
      <c r="C18">
        <v>1.6187296757493383</v>
      </c>
      <c r="D18" t="s">
        <v>2361</v>
      </c>
      <c r="E18">
        <v>89.5</v>
      </c>
      <c r="F18">
        <v>0.81788535585641531</v>
      </c>
      <c r="H18">
        <v>214</v>
      </c>
      <c r="I18" s="51">
        <v>42.795019610974975</v>
      </c>
      <c r="J18">
        <v>1.5290862031670733</v>
      </c>
      <c r="K18" t="s">
        <v>2362</v>
      </c>
      <c r="L18" s="51">
        <v>75.757974762303931</v>
      </c>
      <c r="M18">
        <v>0.70961250000000009</v>
      </c>
      <c r="W18">
        <v>76.050000000000011</v>
      </c>
      <c r="Y18">
        <v>1.1499999999999999</v>
      </c>
      <c r="Z18" t="s">
        <v>2363</v>
      </c>
    </row>
    <row r="19" spans="1:26">
      <c r="A19">
        <v>16</v>
      </c>
      <c r="B19" s="51">
        <v>103.5</v>
      </c>
      <c r="C19">
        <v>0.43665216029192394</v>
      </c>
      <c r="D19" t="s">
        <v>1371</v>
      </c>
      <c r="E19">
        <v>101.1</v>
      </c>
      <c r="F19">
        <v>1.7683501683501686</v>
      </c>
      <c r="G19">
        <v>0.11600000000000001</v>
      </c>
      <c r="H19">
        <v>215</v>
      </c>
      <c r="I19" s="51">
        <v>41.941648525173456</v>
      </c>
      <c r="J19">
        <v>1.2534987571844711</v>
      </c>
      <c r="K19" t="s">
        <v>2364</v>
      </c>
      <c r="L19" s="51">
        <v>75.608891191719621</v>
      </c>
      <c r="M19">
        <v>1.0974375000000001</v>
      </c>
      <c r="W19">
        <v>75.5</v>
      </c>
      <c r="Y19">
        <v>0.6</v>
      </c>
      <c r="Z19" t="s">
        <v>2365</v>
      </c>
    </row>
    <row r="20" spans="1:26">
      <c r="A20">
        <v>17</v>
      </c>
      <c r="B20" s="51">
        <v>104</v>
      </c>
      <c r="C20">
        <v>1.6591014761320189</v>
      </c>
      <c r="D20" t="s">
        <v>1374</v>
      </c>
      <c r="E20">
        <v>101.1</v>
      </c>
      <c r="F20">
        <v>1.7184238105219032</v>
      </c>
      <c r="H20">
        <v>216</v>
      </c>
      <c r="I20" s="51">
        <v>40.140087344036914</v>
      </c>
      <c r="J20">
        <v>1.5064519183589145</v>
      </c>
      <c r="K20" t="s">
        <v>2366</v>
      </c>
      <c r="L20" s="51">
        <v>75.459807621135326</v>
      </c>
      <c r="M20">
        <v>0.70961250000000009</v>
      </c>
    </row>
    <row r="21" spans="1:26">
      <c r="A21">
        <v>18</v>
      </c>
      <c r="B21" s="51">
        <v>104.5</v>
      </c>
      <c r="C21">
        <v>1.4803511848503137</v>
      </c>
      <c r="D21" t="s">
        <v>1375</v>
      </c>
      <c r="E21">
        <v>101.1</v>
      </c>
      <c r="F21">
        <v>1.8197350398082355</v>
      </c>
      <c r="H21">
        <v>217</v>
      </c>
      <c r="I21" s="51">
        <v>37.353828978809879</v>
      </c>
      <c r="J21">
        <v>1.5244383233281118</v>
      </c>
      <c r="K21" t="s">
        <v>2367</v>
      </c>
      <c r="L21" s="51">
        <v>74.859807621135332</v>
      </c>
      <c r="M21">
        <v>1.0974375000000001</v>
      </c>
    </row>
    <row r="22" spans="1:26">
      <c r="A22">
        <v>19</v>
      </c>
      <c r="B22" s="51">
        <v>105</v>
      </c>
      <c r="C22">
        <v>0.94254086478124355</v>
      </c>
      <c r="D22" t="s">
        <v>1376</v>
      </c>
      <c r="E22">
        <v>101.1</v>
      </c>
      <c r="F22">
        <v>1.6332642753188937</v>
      </c>
      <c r="H22">
        <v>218</v>
      </c>
      <c r="I22" s="51">
        <v>35.334565381774709</v>
      </c>
      <c r="J22">
        <v>1.4408296896509911</v>
      </c>
      <c r="K22" t="s">
        <v>2368</v>
      </c>
      <c r="L22" s="51">
        <v>74.773205080756881</v>
      </c>
      <c r="M22">
        <v>1.0974375000000001</v>
      </c>
    </row>
    <row r="23" spans="1:26">
      <c r="A23">
        <v>20</v>
      </c>
      <c r="B23" s="51">
        <v>105.5</v>
      </c>
      <c r="C23">
        <v>1.5209790209790213</v>
      </c>
      <c r="D23" t="s">
        <v>2369</v>
      </c>
      <c r="E23">
        <v>105.9</v>
      </c>
      <c r="F23">
        <v>1.6039369361159208</v>
      </c>
      <c r="G23">
        <v>0.252</v>
      </c>
      <c r="H23">
        <v>219</v>
      </c>
      <c r="I23" s="51">
        <v>31.127473212472069</v>
      </c>
      <c r="J23">
        <v>1.8107442982131248</v>
      </c>
      <c r="K23" t="s">
        <v>2370</v>
      </c>
      <c r="L23" s="51">
        <v>74.686602540378445</v>
      </c>
      <c r="M23">
        <v>0.78650000000000009</v>
      </c>
    </row>
    <row r="24" spans="1:26">
      <c r="A24">
        <v>21</v>
      </c>
      <c r="B24" s="51">
        <v>106</v>
      </c>
      <c r="C24">
        <v>0.6369160247142015</v>
      </c>
      <c r="D24" t="s">
        <v>2371</v>
      </c>
      <c r="E24">
        <v>105.9</v>
      </c>
      <c r="F24">
        <v>1.490828172004955</v>
      </c>
      <c r="H24">
        <v>220</v>
      </c>
      <c r="I24" s="51">
        <v>31.127473212472069</v>
      </c>
      <c r="J24">
        <v>1.3031944802767801</v>
      </c>
      <c r="K24" t="s">
        <v>2372</v>
      </c>
      <c r="L24" s="51">
        <v>74.599999999999994</v>
      </c>
      <c r="M24">
        <v>1.4625000000000001</v>
      </c>
    </row>
    <row r="25" spans="1:26">
      <c r="A25">
        <v>22</v>
      </c>
      <c r="B25" s="51">
        <v>106.5</v>
      </c>
      <c r="C25">
        <v>0.76225896701345275</v>
      </c>
      <c r="D25" t="s">
        <v>2373</v>
      </c>
      <c r="E25">
        <v>105.9</v>
      </c>
      <c r="F25">
        <v>1.4622834460729048</v>
      </c>
      <c r="H25">
        <v>221</v>
      </c>
      <c r="I25" s="51">
        <v>24.504987686434639</v>
      </c>
      <c r="J25">
        <v>1.6331177617887773</v>
      </c>
      <c r="K25" t="s">
        <v>2374</v>
      </c>
      <c r="L25" s="51">
        <v>74.400000000000006</v>
      </c>
      <c r="M25">
        <v>0.98686249999999998</v>
      </c>
    </row>
    <row r="26" spans="1:26">
      <c r="A26">
        <v>23</v>
      </c>
      <c r="B26" s="51">
        <v>107</v>
      </c>
      <c r="C26">
        <v>0.72023710827391818</v>
      </c>
      <c r="D26" t="s">
        <v>2375</v>
      </c>
      <c r="E26">
        <v>109.6</v>
      </c>
      <c r="F26">
        <v>0.62010997262795831</v>
      </c>
      <c r="G26">
        <v>1.1000000000000001</v>
      </c>
      <c r="H26">
        <v>222</v>
      </c>
      <c r="I26" s="51">
        <v>22.419037778817426</v>
      </c>
      <c r="J26">
        <v>1.6468326415642678</v>
      </c>
      <c r="K26" t="s">
        <v>2376</v>
      </c>
      <c r="L26" s="51">
        <v>74.313397459621555</v>
      </c>
      <c r="M26">
        <v>1.6184999999999994</v>
      </c>
    </row>
    <row r="27" spans="1:26">
      <c r="A27">
        <v>24</v>
      </c>
      <c r="B27" s="51">
        <v>107.5</v>
      </c>
      <c r="C27">
        <v>0.65533215100491093</v>
      </c>
      <c r="D27" t="s">
        <v>2377</v>
      </c>
      <c r="E27">
        <v>109.6</v>
      </c>
      <c r="F27">
        <v>1.8051916460725881</v>
      </c>
      <c r="H27">
        <v>223</v>
      </c>
      <c r="I27" s="51">
        <v>20.031937157770159</v>
      </c>
      <c r="J27">
        <v>1.2669541900604842</v>
      </c>
      <c r="K27" t="s">
        <v>2378</v>
      </c>
      <c r="L27" s="51">
        <v>74.226794919243119</v>
      </c>
      <c r="M27">
        <v>1.5609</v>
      </c>
    </row>
    <row r="28" spans="1:26">
      <c r="A28">
        <v>25</v>
      </c>
      <c r="B28" s="51">
        <v>108</v>
      </c>
      <c r="C28">
        <v>1.5579438473714904</v>
      </c>
      <c r="D28" t="s">
        <v>2379</v>
      </c>
      <c r="E28">
        <v>109.6</v>
      </c>
      <c r="F28">
        <v>1.8650731376537828</v>
      </c>
      <c r="H28">
        <v>224</v>
      </c>
      <c r="I28" s="51">
        <v>18.089884551577711</v>
      </c>
      <c r="J28">
        <v>1.6307966217075489</v>
      </c>
      <c r="K28" t="s">
        <v>2380</v>
      </c>
      <c r="L28" s="51">
        <v>74.140192378864668</v>
      </c>
      <c r="M28">
        <v>1.1917125</v>
      </c>
    </row>
    <row r="29" spans="1:26">
      <c r="A29">
        <v>26</v>
      </c>
      <c r="B29" s="51">
        <v>108.5</v>
      </c>
      <c r="C29">
        <v>1.2246272540795395</v>
      </c>
      <c r="D29" t="s">
        <v>2381</v>
      </c>
      <c r="E29">
        <v>115</v>
      </c>
      <c r="F29">
        <v>0.80414921964217756</v>
      </c>
      <c r="G29">
        <v>0.27200000000000002</v>
      </c>
      <c r="H29">
        <v>225</v>
      </c>
      <c r="I29" s="51">
        <v>16.779789923037754</v>
      </c>
      <c r="J29">
        <v>1.4556809710800802</v>
      </c>
      <c r="K29" t="s">
        <v>2382</v>
      </c>
      <c r="L29" s="51">
        <v>74.053589838486218</v>
      </c>
      <c r="M29">
        <v>0.85818749999999999</v>
      </c>
    </row>
    <row r="30" spans="1:26">
      <c r="A30">
        <v>27</v>
      </c>
      <c r="B30" s="51">
        <v>109</v>
      </c>
      <c r="C30">
        <v>1.1034393753629737</v>
      </c>
      <c r="D30" t="s">
        <v>2383</v>
      </c>
      <c r="E30">
        <v>115</v>
      </c>
      <c r="F30">
        <v>0.80464902454961273</v>
      </c>
      <c r="H30">
        <v>226</v>
      </c>
      <c r="I30" s="51">
        <v>13.410975163934999</v>
      </c>
      <c r="J30">
        <v>1.5871870716398528</v>
      </c>
      <c r="K30" t="s">
        <v>2384</v>
      </c>
      <c r="L30" s="51">
        <v>73.447372055837121</v>
      </c>
      <c r="M30">
        <v>1.0443</v>
      </c>
    </row>
    <row r="31" spans="1:26">
      <c r="A31">
        <v>28</v>
      </c>
      <c r="B31" s="51">
        <v>163.1</v>
      </c>
      <c r="C31">
        <v>0.99358720608027873</v>
      </c>
      <c r="D31" t="s">
        <v>2385</v>
      </c>
      <c r="E31">
        <v>115</v>
      </c>
      <c r="F31">
        <v>0.80404154129865091</v>
      </c>
      <c r="H31">
        <v>227</v>
      </c>
      <c r="I31" s="51">
        <v>9.0108662238626351</v>
      </c>
      <c r="J31">
        <v>1.4237478529490522</v>
      </c>
      <c r="K31" t="s">
        <v>2386</v>
      </c>
      <c r="L31" s="51">
        <v>73.360769515458671</v>
      </c>
      <c r="M31">
        <v>0.92489999999999994</v>
      </c>
    </row>
    <row r="32" spans="1:26">
      <c r="A32">
        <v>29</v>
      </c>
      <c r="B32" s="51">
        <v>163.56514072535109</v>
      </c>
      <c r="C32">
        <v>1.0948185885598758</v>
      </c>
      <c r="D32" t="s">
        <v>2387</v>
      </c>
      <c r="E32">
        <v>115</v>
      </c>
      <c r="F32">
        <v>0.74277883517320142</v>
      </c>
      <c r="H32">
        <v>228</v>
      </c>
      <c r="I32" s="51">
        <v>7.7007715953226779</v>
      </c>
      <c r="J32">
        <v>1.5969812814008213</v>
      </c>
      <c r="K32" t="s">
        <v>2388</v>
      </c>
      <c r="L32" s="51">
        <v>73.274166975080234</v>
      </c>
      <c r="M32">
        <v>1.1917125</v>
      </c>
    </row>
    <row r="33" spans="1:13">
      <c r="A33">
        <v>30</v>
      </c>
      <c r="B33" s="51">
        <v>168.09887993323247</v>
      </c>
      <c r="C33">
        <v>1.183678154322936</v>
      </c>
      <c r="D33" t="s">
        <v>2389</v>
      </c>
      <c r="E33">
        <v>119.5</v>
      </c>
      <c r="F33">
        <v>1.5261934938741024</v>
      </c>
      <c r="G33">
        <v>0.49</v>
      </c>
      <c r="H33">
        <v>229</v>
      </c>
      <c r="I33" s="51">
        <v>-0.26960892563988637</v>
      </c>
      <c r="J33">
        <v>1.7127142116131813</v>
      </c>
      <c r="K33" t="s">
        <v>2390</v>
      </c>
      <c r="L33" s="51">
        <v>67.284400649725541</v>
      </c>
      <c r="M33">
        <v>1.6339625</v>
      </c>
    </row>
    <row r="34" spans="1:13">
      <c r="A34">
        <v>31</v>
      </c>
      <c r="B34" s="51">
        <v>169.52887993323247</v>
      </c>
      <c r="C34">
        <v>1.2218808896676137</v>
      </c>
      <c r="D34" t="s">
        <v>2391</v>
      </c>
      <c r="E34">
        <v>119.5</v>
      </c>
      <c r="F34">
        <v>1.3511341787686644</v>
      </c>
      <c r="H34">
        <v>230</v>
      </c>
      <c r="I34" s="51">
        <v>-1.2053908031684273</v>
      </c>
      <c r="J34">
        <v>1.4839379393466494</v>
      </c>
      <c r="K34" t="s">
        <v>2392</v>
      </c>
      <c r="L34" s="51">
        <v>67.213689971606883</v>
      </c>
      <c r="M34">
        <v>1.6036874999999997</v>
      </c>
    </row>
    <row r="35" spans="1:13">
      <c r="A35">
        <v>32</v>
      </c>
      <c r="B35" s="51">
        <v>170.50648132883043</v>
      </c>
      <c r="C35">
        <v>0.9229289344720456</v>
      </c>
      <c r="D35" t="s">
        <v>2393</v>
      </c>
      <c r="E35">
        <v>119.5</v>
      </c>
      <c r="F35">
        <v>1.5089812186066829</v>
      </c>
      <c r="H35">
        <v>231</v>
      </c>
      <c r="I35" s="51">
        <v>-6.4776789204685343</v>
      </c>
      <c r="J35">
        <v>1.5251552855755506</v>
      </c>
      <c r="K35" t="s">
        <v>2394</v>
      </c>
      <c r="L35" s="51">
        <v>67.142979293488224</v>
      </c>
      <c r="M35">
        <v>1.4418124999999999</v>
      </c>
    </row>
    <row r="36" spans="1:13">
      <c r="A36">
        <v>33</v>
      </c>
      <c r="B36" s="51">
        <v>173.84257657969405</v>
      </c>
      <c r="C36">
        <v>0.96911637750981661</v>
      </c>
      <c r="D36" t="s">
        <v>2395</v>
      </c>
      <c r="E36">
        <v>119.5</v>
      </c>
      <c r="F36">
        <v>1.5432308829742289</v>
      </c>
      <c r="H36">
        <v>232</v>
      </c>
      <c r="I36" s="51">
        <v>-8.9165594512539599</v>
      </c>
      <c r="J36">
        <v>1.5720663053788546</v>
      </c>
      <c r="K36" t="s">
        <v>2396</v>
      </c>
      <c r="L36" s="51">
        <v>67.072268615369566</v>
      </c>
      <c r="M36">
        <v>1.4418124999999999</v>
      </c>
    </row>
    <row r="37" spans="1:13">
      <c r="A37">
        <v>34</v>
      </c>
      <c r="B37" s="51">
        <v>177.50982482275464</v>
      </c>
      <c r="C37">
        <v>0.96542496725166349</v>
      </c>
      <c r="D37" t="s">
        <v>2397</v>
      </c>
      <c r="E37">
        <v>123.5</v>
      </c>
      <c r="F37">
        <v>1.7901965427421263</v>
      </c>
      <c r="G37">
        <v>0.129</v>
      </c>
      <c r="H37">
        <v>233</v>
      </c>
      <c r="I37" s="51">
        <v>-17.190817789757588</v>
      </c>
      <c r="J37">
        <v>1.4873537745320413</v>
      </c>
      <c r="K37" t="s">
        <v>2398</v>
      </c>
      <c r="L37" s="51">
        <v>67.001557937250908</v>
      </c>
      <c r="M37">
        <v>1.5314999999999999</v>
      </c>
    </row>
    <row r="38" spans="1:13">
      <c r="A38">
        <v>35</v>
      </c>
      <c r="B38" s="51">
        <v>179.35205209902287</v>
      </c>
      <c r="C38">
        <v>1.0321608204859349</v>
      </c>
      <c r="D38" t="s">
        <v>2399</v>
      </c>
      <c r="E38">
        <v>123.5</v>
      </c>
      <c r="F38">
        <v>1.5263372295448896</v>
      </c>
      <c r="H38">
        <v>234</v>
      </c>
      <c r="I38" s="51">
        <v>-22.09386328676824</v>
      </c>
      <c r="J38">
        <v>1.4577361637710515</v>
      </c>
      <c r="K38" t="s">
        <v>2400</v>
      </c>
      <c r="L38" s="51">
        <v>66.860136581013606</v>
      </c>
      <c r="M38">
        <v>1.3679000000000001</v>
      </c>
    </row>
    <row r="39" spans="1:13">
      <c r="A39">
        <v>36</v>
      </c>
      <c r="B39" s="51">
        <v>182.73205209902287</v>
      </c>
      <c r="C39">
        <v>1.1980727775535269</v>
      </c>
      <c r="D39" t="s">
        <v>2401</v>
      </c>
      <c r="E39">
        <v>123.5</v>
      </c>
      <c r="F39">
        <v>1.6309184180790959</v>
      </c>
      <c r="H39">
        <v>235</v>
      </c>
      <c r="I39" s="51">
        <v>-27.095696821600768</v>
      </c>
      <c r="J39">
        <v>0.87058223484615327</v>
      </c>
      <c r="K39" t="s">
        <v>2402</v>
      </c>
      <c r="L39" s="51">
        <v>66.789425902894948</v>
      </c>
      <c r="M39">
        <v>1.3679000000000001</v>
      </c>
    </row>
    <row r="40" spans="1:13">
      <c r="A40">
        <v>37</v>
      </c>
      <c r="B40" s="51">
        <v>183.80147911323562</v>
      </c>
      <c r="C40">
        <v>1.1679377722754931</v>
      </c>
      <c r="D40" t="s">
        <v>2403</v>
      </c>
      <c r="E40">
        <v>123.5</v>
      </c>
      <c r="F40">
        <v>1.6116618517641486</v>
      </c>
      <c r="H40">
        <v>236</v>
      </c>
      <c r="I40" s="51">
        <v>-27.306888778995614</v>
      </c>
      <c r="J40">
        <v>0.894254415381176</v>
      </c>
      <c r="K40" t="s">
        <v>2404</v>
      </c>
      <c r="L40" s="51">
        <v>66.718715224776304</v>
      </c>
      <c r="M40">
        <v>1.4625000000000001</v>
      </c>
    </row>
    <row r="41" spans="1:13">
      <c r="A41">
        <v>38</v>
      </c>
      <c r="B41" s="51">
        <v>185.62147911323561</v>
      </c>
      <c r="C41">
        <v>1.050185751604815</v>
      </c>
      <c r="D41" t="s">
        <v>1385</v>
      </c>
      <c r="E41">
        <v>128.5</v>
      </c>
      <c r="F41">
        <v>1.305431614913074</v>
      </c>
      <c r="G41">
        <v>0.14699999999999999</v>
      </c>
      <c r="H41">
        <v>237</v>
      </c>
      <c r="I41" s="51">
        <v>-34.084835389308836</v>
      </c>
      <c r="J41">
        <v>1.0736102522984095</v>
      </c>
      <c r="K41" t="s">
        <v>2405</v>
      </c>
      <c r="L41" s="51">
        <v>66.648004546657646</v>
      </c>
      <c r="M41">
        <v>1.4193</v>
      </c>
    </row>
    <row r="42" spans="1:13">
      <c r="A42">
        <v>39</v>
      </c>
      <c r="B42" s="51">
        <v>189.05294046661521</v>
      </c>
      <c r="C42">
        <v>1.1473802694165063</v>
      </c>
      <c r="D42" t="s">
        <v>1386</v>
      </c>
      <c r="E42">
        <v>128.5</v>
      </c>
      <c r="F42">
        <v>1.2006226563585021</v>
      </c>
      <c r="H42">
        <v>238</v>
      </c>
      <c r="I42" s="51">
        <v>-35.678594079745977</v>
      </c>
      <c r="J42">
        <v>1.1100992442018918</v>
      </c>
      <c r="K42" t="s">
        <v>2406</v>
      </c>
      <c r="L42" s="51">
        <v>66.577293868538987</v>
      </c>
      <c r="M42">
        <v>1.3679000000000001</v>
      </c>
    </row>
    <row r="43" spans="1:13">
      <c r="A43">
        <v>40</v>
      </c>
      <c r="B43" s="51">
        <v>189.9970493775063</v>
      </c>
      <c r="C43">
        <v>1.1911708969276213</v>
      </c>
      <c r="D43" t="s">
        <v>1387</v>
      </c>
      <c r="E43">
        <v>128.5</v>
      </c>
      <c r="F43">
        <v>1.1769852781726624</v>
      </c>
      <c r="H43">
        <v>239</v>
      </c>
      <c r="I43" s="51">
        <v>-36.634849294008262</v>
      </c>
      <c r="J43">
        <v>1.1094406971789659</v>
      </c>
      <c r="K43" t="s">
        <v>2407</v>
      </c>
      <c r="L43" s="51">
        <v>66.506583190420329</v>
      </c>
      <c r="M43">
        <v>1.5314999999999999</v>
      </c>
    </row>
    <row r="44" spans="1:13">
      <c r="A44">
        <v>41</v>
      </c>
      <c r="B44" s="51">
        <v>190.94115828839742</v>
      </c>
      <c r="C44">
        <v>0.89835076359814914</v>
      </c>
      <c r="D44" t="s">
        <v>2408</v>
      </c>
      <c r="E44">
        <v>131</v>
      </c>
      <c r="F44">
        <v>1.3944474870455403</v>
      </c>
      <c r="G44">
        <v>0.58299999999999996</v>
      </c>
      <c r="K44" t="s">
        <v>2409</v>
      </c>
      <c r="L44" s="51">
        <v>66.435872512301671</v>
      </c>
      <c r="M44">
        <v>1.5158625000000001</v>
      </c>
    </row>
    <row r="45" spans="1:13">
      <c r="A45">
        <v>42</v>
      </c>
      <c r="B45" s="51">
        <v>194.29798997156576</v>
      </c>
      <c r="C45">
        <v>0.92366178422288447</v>
      </c>
      <c r="D45" t="s">
        <v>2410</v>
      </c>
      <c r="E45">
        <v>131</v>
      </c>
      <c r="F45">
        <v>2.0883300606926101</v>
      </c>
      <c r="H45" t="s">
        <v>2411</v>
      </c>
      <c r="I45" s="51">
        <v>-49.355485335338429</v>
      </c>
      <c r="J45">
        <v>0.83351374756440799</v>
      </c>
      <c r="K45" t="s">
        <v>2412</v>
      </c>
      <c r="L45" s="51">
        <v>66.365161834183027</v>
      </c>
      <c r="M45">
        <v>1.3385625000000001</v>
      </c>
    </row>
    <row r="46" spans="1:13">
      <c r="A46">
        <v>43</v>
      </c>
      <c r="B46" s="51">
        <v>196.29917809037761</v>
      </c>
      <c r="C46">
        <v>1.1396561715279119</v>
      </c>
      <c r="D46" t="s">
        <v>2413</v>
      </c>
      <c r="E46">
        <v>131</v>
      </c>
      <c r="F46">
        <v>1.7713237054176973</v>
      </c>
      <c r="H46" t="s">
        <v>2414</v>
      </c>
      <c r="I46" s="51">
        <v>-49.355485335338429</v>
      </c>
      <c r="J46">
        <v>0.84836898076233724</v>
      </c>
      <c r="K46" t="s">
        <v>2415</v>
      </c>
      <c r="L46" s="51">
        <v>66.294451156064369</v>
      </c>
      <c r="M46">
        <v>1.5314999999999999</v>
      </c>
    </row>
    <row r="47" spans="1:13">
      <c r="A47">
        <v>44</v>
      </c>
      <c r="B47" s="51">
        <v>198.23581175374392</v>
      </c>
      <c r="C47">
        <v>1.0761068844270063</v>
      </c>
      <c r="D47" t="s">
        <v>2416</v>
      </c>
      <c r="E47">
        <v>131</v>
      </c>
      <c r="F47">
        <v>1.8468589122467032</v>
      </c>
      <c r="H47" t="s">
        <v>2417</v>
      </c>
      <c r="I47" s="51">
        <v>-53.106950709164778</v>
      </c>
      <c r="J47">
        <v>0.79135595799726077</v>
      </c>
      <c r="K47" t="s">
        <v>2418</v>
      </c>
      <c r="L47" s="51">
        <v>66.223740477945711</v>
      </c>
      <c r="M47">
        <v>1.5314999999999999</v>
      </c>
    </row>
    <row r="48" spans="1:13">
      <c r="A48">
        <v>45</v>
      </c>
      <c r="B48" s="51">
        <v>199.49462363493205</v>
      </c>
      <c r="C48">
        <v>0.95767479239217801</v>
      </c>
      <c r="D48" t="s">
        <v>1388</v>
      </c>
      <c r="E48">
        <v>139</v>
      </c>
      <c r="F48">
        <v>1.0628150459351706</v>
      </c>
      <c r="H48" t="s">
        <v>2419</v>
      </c>
      <c r="I48" s="51">
        <v>-53.106950709164778</v>
      </c>
      <c r="J48">
        <v>0.80622347949080619</v>
      </c>
      <c r="K48" t="s">
        <v>2420</v>
      </c>
      <c r="L48" s="51">
        <v>66.153029799827067</v>
      </c>
      <c r="M48">
        <v>1.4815875000000003</v>
      </c>
    </row>
    <row r="49" spans="1:13">
      <c r="A49">
        <v>46</v>
      </c>
      <c r="B49" s="51">
        <v>205.20769294186272</v>
      </c>
      <c r="C49">
        <v>1.0979609297019821</v>
      </c>
      <c r="D49" t="s">
        <v>1390</v>
      </c>
      <c r="E49">
        <v>139</v>
      </c>
      <c r="F49">
        <v>1.3743874203224598</v>
      </c>
      <c r="H49" t="s">
        <v>2421</v>
      </c>
      <c r="I49" s="51">
        <v>-71.521707050987175</v>
      </c>
      <c r="J49">
        <v>0.73173610291514213</v>
      </c>
      <c r="K49" t="s">
        <v>2422</v>
      </c>
      <c r="L49" s="51">
        <v>66.082319121708409</v>
      </c>
      <c r="M49">
        <v>1.0443</v>
      </c>
    </row>
    <row r="50" spans="1:13">
      <c r="A50">
        <v>47</v>
      </c>
      <c r="B50" s="51">
        <v>205.34964491806309</v>
      </c>
      <c r="C50">
        <v>1.1231794618612689</v>
      </c>
      <c r="D50" t="s">
        <v>1391</v>
      </c>
      <c r="E50">
        <v>139</v>
      </c>
      <c r="F50">
        <v>1.2243182022876702</v>
      </c>
      <c r="H50" t="s">
        <v>2423</v>
      </c>
      <c r="I50" s="51">
        <v>-71.521707050987175</v>
      </c>
      <c r="J50">
        <v>0.70387129210658617</v>
      </c>
      <c r="K50" t="s">
        <v>2424</v>
      </c>
      <c r="L50" s="51">
        <v>66.011608443589751</v>
      </c>
      <c r="M50">
        <v>1.4193</v>
      </c>
    </row>
    <row r="51" spans="1:13">
      <c r="A51">
        <v>48</v>
      </c>
      <c r="B51" s="51">
        <v>210.53569839128406</v>
      </c>
      <c r="C51">
        <v>1.4116698037106752</v>
      </c>
      <c r="D51" t="s">
        <v>1392</v>
      </c>
      <c r="F51">
        <v>0.37472616817941695</v>
      </c>
      <c r="G51">
        <v>0.34300000000000003</v>
      </c>
      <c r="H51" t="s">
        <v>2425</v>
      </c>
      <c r="I51" s="51">
        <v>75.55</v>
      </c>
      <c r="J51">
        <v>0.54015491235222191</v>
      </c>
      <c r="K51" t="s">
        <v>2426</v>
      </c>
      <c r="L51" s="51">
        <v>65.940897765471092</v>
      </c>
      <c r="M51">
        <v>1.3679000000000001</v>
      </c>
    </row>
    <row r="52" spans="1:13">
      <c r="A52">
        <v>49</v>
      </c>
      <c r="B52" s="51">
        <v>212.32720462934341</v>
      </c>
      <c r="C52">
        <v>0.79028841453478915</v>
      </c>
      <c r="D52" t="s">
        <v>1396</v>
      </c>
      <c r="F52">
        <v>0.36958225165562919</v>
      </c>
      <c r="H52" t="s">
        <v>2427</v>
      </c>
      <c r="I52" s="51">
        <v>75.55</v>
      </c>
      <c r="J52">
        <v>0.6655574043261232</v>
      </c>
      <c r="K52" t="s">
        <v>2428</v>
      </c>
      <c r="L52" s="51">
        <v>65.870187087352434</v>
      </c>
      <c r="M52">
        <v>1.2714874999999999</v>
      </c>
    </row>
    <row r="53" spans="1:13">
      <c r="A53">
        <v>50</v>
      </c>
      <c r="B53" s="51">
        <v>213.54220462934342</v>
      </c>
      <c r="C53">
        <v>1.1107058784523061</v>
      </c>
      <c r="D53" t="s">
        <v>1397</v>
      </c>
      <c r="F53">
        <v>0.3665267771676155</v>
      </c>
      <c r="H53" t="s">
        <v>2429</v>
      </c>
      <c r="I53" s="51">
        <v>75.45</v>
      </c>
      <c r="J53">
        <v>1.0878133375374428</v>
      </c>
      <c r="K53" t="s">
        <v>2430</v>
      </c>
      <c r="L53" s="51">
        <v>65.79947640923379</v>
      </c>
      <c r="M53">
        <v>1.4815875000000003</v>
      </c>
    </row>
    <row r="54" spans="1:13">
      <c r="A54">
        <v>51</v>
      </c>
      <c r="B54" s="51">
        <v>214.24220462934341</v>
      </c>
      <c r="C54">
        <v>1.1123889967759573</v>
      </c>
      <c r="D54" t="s">
        <v>1398</v>
      </c>
      <c r="F54">
        <v>0.40629185349387875</v>
      </c>
      <c r="H54" t="s">
        <v>2431</v>
      </c>
      <c r="I54" s="51">
        <v>75.45</v>
      </c>
      <c r="J54">
        <v>1.0524070255279812</v>
      </c>
      <c r="K54" t="s">
        <v>2432</v>
      </c>
      <c r="L54" s="51">
        <v>65.656475638058325</v>
      </c>
      <c r="M54">
        <v>1.4992999999999999</v>
      </c>
    </row>
    <row r="55" spans="1:13">
      <c r="A55">
        <v>52</v>
      </c>
      <c r="B55" s="51">
        <v>214.94220462934339</v>
      </c>
      <c r="C55">
        <v>1.2189459020199676</v>
      </c>
      <c r="D55" t="s">
        <v>1399</v>
      </c>
      <c r="F55">
        <v>0.5001267836977723</v>
      </c>
      <c r="G55">
        <v>0.84299999999999997</v>
      </c>
      <c r="H55" t="s">
        <v>2433</v>
      </c>
      <c r="I55" s="51">
        <v>75.400000000000006</v>
      </c>
      <c r="J55">
        <v>0.73598009743961856</v>
      </c>
      <c r="K55" t="s">
        <v>2434</v>
      </c>
      <c r="L55" s="51">
        <v>65.606475638058328</v>
      </c>
      <c r="M55">
        <v>1.5892999999999999</v>
      </c>
    </row>
    <row r="56" spans="1:13">
      <c r="A56">
        <v>53</v>
      </c>
      <c r="B56" s="51">
        <v>217.39138240181933</v>
      </c>
      <c r="C56">
        <v>1.1195861722127094</v>
      </c>
      <c r="D56" t="s">
        <v>1401</v>
      </c>
      <c r="F56">
        <v>0.43202345598228203</v>
      </c>
      <c r="H56" t="s">
        <v>2435</v>
      </c>
      <c r="I56" s="51">
        <v>75.2</v>
      </c>
      <c r="J56">
        <v>1.1822105460686809</v>
      </c>
      <c r="K56" t="s">
        <v>2436</v>
      </c>
      <c r="L56" s="51">
        <v>65.55647563805833</v>
      </c>
      <c r="M56">
        <v>1.5609</v>
      </c>
    </row>
    <row r="57" spans="1:13">
      <c r="A57">
        <v>54</v>
      </c>
      <c r="B57" s="51">
        <v>218.29450740181935</v>
      </c>
      <c r="C57">
        <v>1.2339223133520487</v>
      </c>
      <c r="D57" t="s">
        <v>1402</v>
      </c>
      <c r="F57">
        <v>0.46059264530229471</v>
      </c>
      <c r="H57" t="s">
        <v>2437</v>
      </c>
      <c r="I57" s="51">
        <v>75.2</v>
      </c>
      <c r="J57">
        <v>1.1612594277505091</v>
      </c>
      <c r="K57" t="s">
        <v>2438</v>
      </c>
      <c r="L57" s="51">
        <v>65.536475638058334</v>
      </c>
      <c r="M57">
        <v>1.5314999999999999</v>
      </c>
    </row>
    <row r="58" spans="1:13">
      <c r="A58">
        <v>55</v>
      </c>
      <c r="B58" s="51">
        <v>219.3782574018193</v>
      </c>
      <c r="C58">
        <v>1.2387138100105033</v>
      </c>
      <c r="D58" t="s">
        <v>1403</v>
      </c>
      <c r="F58">
        <v>0.46386947571729892</v>
      </c>
      <c r="H58" t="s">
        <v>2439</v>
      </c>
      <c r="I58" s="51">
        <v>74.75</v>
      </c>
      <c r="J58">
        <v>1.9279252558208511</v>
      </c>
      <c r="K58" t="s">
        <v>2440</v>
      </c>
      <c r="L58" s="51">
        <v>65.516475638058324</v>
      </c>
      <c r="M58">
        <v>1.4418124999999999</v>
      </c>
    </row>
    <row r="59" spans="1:13">
      <c r="A59">
        <v>56</v>
      </c>
      <c r="B59" s="51">
        <v>225.93370223981049</v>
      </c>
      <c r="C59">
        <v>1.1839936054353799</v>
      </c>
      <c r="D59" t="s">
        <v>1405</v>
      </c>
      <c r="E59">
        <v>141</v>
      </c>
      <c r="F59">
        <v>0.59354745884643045</v>
      </c>
      <c r="G59">
        <v>0.44600000000000001</v>
      </c>
      <c r="H59" t="s">
        <v>2441</v>
      </c>
      <c r="I59" s="51">
        <v>74.75</v>
      </c>
      <c r="J59">
        <v>1.9514461609943079</v>
      </c>
      <c r="K59" t="s">
        <v>2442</v>
      </c>
      <c r="L59" s="51">
        <v>65.496475638058328</v>
      </c>
      <c r="M59">
        <v>1.3065</v>
      </c>
    </row>
    <row r="60" spans="1:13">
      <c r="A60">
        <v>57</v>
      </c>
      <c r="B60" s="51">
        <v>226.67830223981048</v>
      </c>
      <c r="C60">
        <v>1.0731361445667693</v>
      </c>
      <c r="D60" t="s">
        <v>1406</v>
      </c>
      <c r="E60">
        <v>141</v>
      </c>
      <c r="F60">
        <v>0.66671279557827379</v>
      </c>
      <c r="H60" t="s">
        <v>2443</v>
      </c>
      <c r="I60" s="51">
        <v>74.45</v>
      </c>
      <c r="J60">
        <v>0.88529271775345075</v>
      </c>
      <c r="K60" t="s">
        <v>2444</v>
      </c>
      <c r="L60" s="51">
        <v>65.476475638058332</v>
      </c>
      <c r="M60">
        <v>1.2714874999999999</v>
      </c>
    </row>
    <row r="61" spans="1:13">
      <c r="A61">
        <v>58</v>
      </c>
      <c r="B61" s="51">
        <v>227.27398223981046</v>
      </c>
      <c r="C61">
        <v>1.3246859410933338</v>
      </c>
      <c r="D61" t="s">
        <v>1407</v>
      </c>
      <c r="E61">
        <v>141</v>
      </c>
      <c r="F61">
        <v>0.68240701136411286</v>
      </c>
      <c r="H61" t="s">
        <v>2445</v>
      </c>
      <c r="I61" s="51">
        <v>74.45</v>
      </c>
      <c r="J61">
        <v>0.73128987085732078</v>
      </c>
      <c r="K61" t="s">
        <v>2446</v>
      </c>
      <c r="L61" s="51">
        <v>65.456475638058336</v>
      </c>
      <c r="M61">
        <v>1.0443</v>
      </c>
    </row>
    <row r="62" spans="1:13">
      <c r="A62">
        <v>59</v>
      </c>
      <c r="B62" s="51">
        <v>229.25958223981047</v>
      </c>
      <c r="C62">
        <v>0.71647672570136367</v>
      </c>
      <c r="D62" t="s">
        <v>2447</v>
      </c>
      <c r="E62">
        <v>145.5</v>
      </c>
      <c r="F62">
        <v>1.7440081162702907</v>
      </c>
      <c r="G62">
        <v>0.90600000000000003</v>
      </c>
      <c r="H62" t="s">
        <v>2448</v>
      </c>
      <c r="I62" s="51">
        <v>73.8</v>
      </c>
      <c r="J62">
        <v>1.1286931503817639</v>
      </c>
      <c r="K62" t="s">
        <v>2449</v>
      </c>
      <c r="L62" s="51">
        <v>65.436475638058326</v>
      </c>
      <c r="M62">
        <v>1.3385625000000001</v>
      </c>
    </row>
    <row r="63" spans="1:13">
      <c r="A63">
        <v>60</v>
      </c>
      <c r="B63" s="51">
        <v>230.28158223981046</v>
      </c>
      <c r="C63">
        <v>0.9895195145880441</v>
      </c>
      <c r="D63" t="s">
        <v>2450</v>
      </c>
      <c r="E63">
        <v>145.5</v>
      </c>
      <c r="F63">
        <v>1.7825160875160875</v>
      </c>
      <c r="H63" t="s">
        <v>2451</v>
      </c>
      <c r="I63" s="51">
        <v>73.8</v>
      </c>
      <c r="J63">
        <v>1.2051125989044431</v>
      </c>
      <c r="K63" t="s">
        <v>2452</v>
      </c>
      <c r="L63" s="51">
        <v>65.41647563805833</v>
      </c>
      <c r="M63">
        <v>1.2714874999999999</v>
      </c>
    </row>
    <row r="64" spans="1:13">
      <c r="A64">
        <v>61</v>
      </c>
      <c r="B64" s="51">
        <v>231.01158223981045</v>
      </c>
      <c r="C64">
        <v>1.0838305361205305</v>
      </c>
      <c r="D64" t="s">
        <v>2453</v>
      </c>
      <c r="E64">
        <v>145.5</v>
      </c>
      <c r="F64">
        <v>1.6829255447649416</v>
      </c>
      <c r="H64" t="s">
        <v>2454</v>
      </c>
      <c r="I64" s="51">
        <v>73.276750000000007</v>
      </c>
      <c r="J64">
        <v>0.99974689951910911</v>
      </c>
      <c r="K64" t="s">
        <v>2455</v>
      </c>
      <c r="L64" s="51">
        <v>65.396475638058334</v>
      </c>
      <c r="M64">
        <v>1.1917125</v>
      </c>
    </row>
    <row r="65" spans="1:13">
      <c r="A65">
        <v>62</v>
      </c>
      <c r="B65" s="51">
        <v>231.88758223981046</v>
      </c>
      <c r="C65">
        <v>1.0668813206329737</v>
      </c>
      <c r="D65" t="s">
        <v>2456</v>
      </c>
      <c r="E65">
        <v>148</v>
      </c>
      <c r="F65">
        <v>1.0820720338035725</v>
      </c>
      <c r="G65">
        <v>0.38700000000000001</v>
      </c>
      <c r="H65" t="s">
        <v>2457</v>
      </c>
      <c r="I65" s="51">
        <v>73.276750000000007</v>
      </c>
      <c r="J65">
        <v>1.1253395421032208</v>
      </c>
      <c r="K65" t="s">
        <v>2458</v>
      </c>
      <c r="L65" s="51">
        <v>65.376475638058338</v>
      </c>
      <c r="M65">
        <v>1.4815875000000003</v>
      </c>
    </row>
    <row r="66" spans="1:13">
      <c r="A66">
        <v>63</v>
      </c>
      <c r="B66" s="51">
        <v>233.05558223981046</v>
      </c>
      <c r="C66">
        <v>1.0108631513779662</v>
      </c>
      <c r="D66" t="s">
        <v>2459</v>
      </c>
      <c r="E66">
        <v>148</v>
      </c>
      <c r="F66">
        <v>1.0885210935152998</v>
      </c>
      <c r="H66" t="s">
        <v>2460</v>
      </c>
      <c r="I66" s="51">
        <v>72.717550000000003</v>
      </c>
      <c r="J66">
        <v>1.156798822168472</v>
      </c>
      <c r="K66" t="s">
        <v>2461</v>
      </c>
      <c r="L66" s="51">
        <v>65.356475638058328</v>
      </c>
      <c r="M66">
        <v>1.4193</v>
      </c>
    </row>
    <row r="67" spans="1:13">
      <c r="A67">
        <v>64</v>
      </c>
      <c r="B67" s="51">
        <v>109.7</v>
      </c>
      <c r="C67">
        <v>0.90204154825107197</v>
      </c>
      <c r="D67" t="s">
        <v>2462</v>
      </c>
      <c r="E67">
        <v>148</v>
      </c>
      <c r="F67">
        <v>1.0521453238753034</v>
      </c>
      <c r="H67" t="s">
        <v>2463</v>
      </c>
      <c r="I67" s="51">
        <v>72.717550000000003</v>
      </c>
      <c r="J67">
        <v>0.98591549295774661</v>
      </c>
      <c r="K67" t="s">
        <v>2464</v>
      </c>
      <c r="L67" s="51">
        <v>65.336475638058332</v>
      </c>
      <c r="M67">
        <v>1.1465000000000001</v>
      </c>
    </row>
    <row r="68" spans="1:13">
      <c r="A68">
        <v>65</v>
      </c>
      <c r="B68" s="51">
        <v>110.7</v>
      </c>
      <c r="C68">
        <v>1.4077868977885506</v>
      </c>
      <c r="D68" t="s">
        <v>2465</v>
      </c>
      <c r="E68">
        <v>148</v>
      </c>
      <c r="F68">
        <v>0.94549173914015516</v>
      </c>
      <c r="H68" t="s">
        <v>2466</v>
      </c>
      <c r="I68" s="51">
        <v>71.738950000000003</v>
      </c>
      <c r="J68">
        <v>1.0722533817222037</v>
      </c>
      <c r="K68" t="s">
        <v>2467</v>
      </c>
      <c r="L68" s="51">
        <v>65.316475638058336</v>
      </c>
      <c r="M68">
        <v>1.4992999999999999</v>
      </c>
    </row>
    <row r="69" spans="1:13">
      <c r="A69">
        <v>66</v>
      </c>
      <c r="B69" s="51">
        <v>110.95</v>
      </c>
      <c r="C69">
        <v>0.8730364206710941</v>
      </c>
      <c r="D69" t="s">
        <v>2468</v>
      </c>
      <c r="E69">
        <v>156</v>
      </c>
      <c r="F69">
        <v>1.4451188332332867</v>
      </c>
      <c r="G69">
        <v>0.47599999999999998</v>
      </c>
      <c r="H69" t="s">
        <v>2469</v>
      </c>
      <c r="I69" s="51">
        <v>71.738950000000003</v>
      </c>
      <c r="J69">
        <v>1.1195928753180662</v>
      </c>
      <c r="K69" t="s">
        <v>2470</v>
      </c>
      <c r="L69" s="51">
        <v>65.29647563805834</v>
      </c>
      <c r="M69">
        <v>1.4193</v>
      </c>
    </row>
    <row r="70" spans="1:13">
      <c r="A70">
        <v>67</v>
      </c>
      <c r="B70" s="51">
        <v>111.45</v>
      </c>
      <c r="C70">
        <v>0.81560687748505223</v>
      </c>
      <c r="D70" t="s">
        <v>2471</v>
      </c>
      <c r="E70">
        <v>156</v>
      </c>
      <c r="F70">
        <v>1.448906557002513</v>
      </c>
      <c r="H70" t="s">
        <v>2472</v>
      </c>
      <c r="I70" s="51">
        <v>69.432249999999996</v>
      </c>
      <c r="J70">
        <v>1.3017751479289941</v>
      </c>
      <c r="K70" t="s">
        <v>2473</v>
      </c>
      <c r="L70" s="51">
        <v>65.276475638058329</v>
      </c>
      <c r="M70">
        <v>1.2714874999999999</v>
      </c>
    </row>
    <row r="71" spans="1:13">
      <c r="A71">
        <v>68</v>
      </c>
      <c r="B71" s="51">
        <v>112.15</v>
      </c>
      <c r="C71">
        <v>0.84924644762672541</v>
      </c>
      <c r="D71" t="s">
        <v>2474</v>
      </c>
      <c r="E71">
        <v>156</v>
      </c>
      <c r="F71">
        <v>1.3929947172425738</v>
      </c>
      <c r="H71" t="s">
        <v>2475</v>
      </c>
      <c r="I71" s="51">
        <v>69.432249999999996</v>
      </c>
      <c r="J71">
        <v>1.37434554973822</v>
      </c>
      <c r="K71" t="s">
        <v>2476</v>
      </c>
      <c r="L71" s="51">
        <v>65.256475638058333</v>
      </c>
      <c r="M71">
        <v>1.4625000000000001</v>
      </c>
    </row>
    <row r="72" spans="1:13">
      <c r="A72">
        <v>69</v>
      </c>
      <c r="B72" s="51">
        <v>113.45</v>
      </c>
      <c r="C72">
        <v>1.4091152953647863</v>
      </c>
      <c r="D72" t="s">
        <v>2477</v>
      </c>
      <c r="E72">
        <v>156</v>
      </c>
      <c r="F72">
        <v>1.4251134974099022</v>
      </c>
      <c r="H72" t="s">
        <v>2478</v>
      </c>
      <c r="I72" s="51">
        <v>61.4</v>
      </c>
      <c r="J72">
        <v>1.6100628930817611</v>
      </c>
      <c r="K72" t="s">
        <v>2479</v>
      </c>
      <c r="L72" s="51">
        <v>65.236475638058337</v>
      </c>
      <c r="M72">
        <v>1.3679000000000001</v>
      </c>
    </row>
    <row r="73" spans="1:13">
      <c r="A73">
        <v>70</v>
      </c>
      <c r="B73" s="51">
        <v>114.75</v>
      </c>
      <c r="C73">
        <v>1.2608079257188005</v>
      </c>
      <c r="D73" t="s">
        <v>1410</v>
      </c>
      <c r="E73">
        <v>158.5962143552531</v>
      </c>
      <c r="F73">
        <v>1.5207884503208247</v>
      </c>
      <c r="G73">
        <v>0.187</v>
      </c>
      <c r="H73" t="s">
        <v>2480</v>
      </c>
      <c r="I73" s="51">
        <v>61.4</v>
      </c>
      <c r="J73">
        <v>1.5045997764594619</v>
      </c>
      <c r="K73" t="s">
        <v>2481</v>
      </c>
      <c r="L73" s="51">
        <v>65.216475638058341</v>
      </c>
      <c r="M73">
        <v>1.3385625000000001</v>
      </c>
    </row>
    <row r="74" spans="1:13">
      <c r="A74">
        <v>71</v>
      </c>
      <c r="B74" s="51">
        <v>115.25</v>
      </c>
      <c r="C74">
        <v>0.89929229606266381</v>
      </c>
      <c r="D74" t="s">
        <v>1411</v>
      </c>
      <c r="E74">
        <v>158.5962143552531</v>
      </c>
      <c r="F74">
        <v>1.4364353270864352</v>
      </c>
      <c r="K74" t="s">
        <v>2482</v>
      </c>
      <c r="L74" s="51">
        <v>65.196475638058331</v>
      </c>
      <c r="M74">
        <v>1.2332999999999998</v>
      </c>
    </row>
    <row r="75" spans="1:13">
      <c r="A75">
        <v>72</v>
      </c>
      <c r="B75" s="51">
        <v>115.75</v>
      </c>
      <c r="C75">
        <v>1.1289608982867254</v>
      </c>
      <c r="D75" t="s">
        <v>2483</v>
      </c>
      <c r="E75">
        <v>160.19999999999999</v>
      </c>
      <c r="F75">
        <v>1.0525783108142301</v>
      </c>
      <c r="G75">
        <v>2.2829999999999999</v>
      </c>
      <c r="K75" t="s">
        <v>2484</v>
      </c>
      <c r="L75" s="51">
        <v>65.176475638058335</v>
      </c>
      <c r="M75">
        <v>1.4193</v>
      </c>
    </row>
    <row r="76" spans="1:13">
      <c r="A76">
        <v>73</v>
      </c>
      <c r="B76" s="51">
        <v>116.35</v>
      </c>
      <c r="C76">
        <v>1.1801517116081897</v>
      </c>
      <c r="D76" t="s">
        <v>2485</v>
      </c>
      <c r="E76">
        <v>160.19999999999999</v>
      </c>
      <c r="F76">
        <v>1.0830883490639023</v>
      </c>
      <c r="G76">
        <v>2.6960000000000002</v>
      </c>
      <c r="K76" t="s">
        <v>2486</v>
      </c>
      <c r="L76" s="51">
        <v>65.156475638058339</v>
      </c>
      <c r="M76">
        <v>1.3947375</v>
      </c>
    </row>
    <row r="77" spans="1:13">
      <c r="A77">
        <v>74</v>
      </c>
      <c r="B77" s="51">
        <v>116.85</v>
      </c>
      <c r="C77">
        <v>1.4596102345890516</v>
      </c>
      <c r="D77" t="s">
        <v>2487</v>
      </c>
      <c r="E77">
        <v>160.19999999999999</v>
      </c>
      <c r="F77">
        <v>0.99600817369093242</v>
      </c>
      <c r="K77" t="s">
        <v>2488</v>
      </c>
      <c r="L77" s="51">
        <v>65.136475638058343</v>
      </c>
      <c r="M77">
        <v>1.4193</v>
      </c>
    </row>
    <row r="78" spans="1:13">
      <c r="A78">
        <v>75</v>
      </c>
      <c r="B78" s="51">
        <v>117.55</v>
      </c>
      <c r="C78">
        <v>1.2891618323097955</v>
      </c>
      <c r="D78" t="s">
        <v>2489</v>
      </c>
      <c r="E78">
        <v>160.19999999999999</v>
      </c>
      <c r="F78">
        <v>1.0204740740740743</v>
      </c>
      <c r="G78">
        <v>4.4569999999999999</v>
      </c>
      <c r="K78" t="s">
        <v>2490</v>
      </c>
      <c r="L78" s="51">
        <v>65.116475638058333</v>
      </c>
      <c r="M78">
        <v>1.4193</v>
      </c>
    </row>
    <row r="79" spans="1:13">
      <c r="A79">
        <v>76</v>
      </c>
      <c r="B79" s="51">
        <v>117.75</v>
      </c>
      <c r="C79">
        <v>2.399162894488863</v>
      </c>
      <c r="D79" t="s">
        <v>2491</v>
      </c>
      <c r="E79">
        <v>163.6</v>
      </c>
      <c r="F79">
        <v>1.1140535110948773</v>
      </c>
      <c r="G79">
        <v>7.99</v>
      </c>
      <c r="K79" t="s">
        <v>2492</v>
      </c>
      <c r="L79" s="51">
        <v>65.096475638058337</v>
      </c>
      <c r="M79">
        <v>1.2714874999999999</v>
      </c>
    </row>
    <row r="80" spans="1:13">
      <c r="A80">
        <v>77</v>
      </c>
      <c r="B80" s="51">
        <v>118.25</v>
      </c>
      <c r="C80">
        <v>0.72311376768809255</v>
      </c>
      <c r="D80" t="s">
        <v>2493</v>
      </c>
      <c r="E80">
        <v>163.6</v>
      </c>
      <c r="F80">
        <v>1.1449611621103601</v>
      </c>
      <c r="G80">
        <v>7.5149999999999997</v>
      </c>
      <c r="K80" t="s">
        <v>2494</v>
      </c>
      <c r="L80" s="51">
        <v>65.076475638058341</v>
      </c>
      <c r="M80">
        <v>1.2332999999999998</v>
      </c>
    </row>
    <row r="81" spans="1:13">
      <c r="A81">
        <v>78</v>
      </c>
      <c r="B81" s="51">
        <v>118.5</v>
      </c>
      <c r="C81">
        <v>1.3773093922340074</v>
      </c>
      <c r="D81" t="s">
        <v>2495</v>
      </c>
      <c r="E81">
        <v>163.6</v>
      </c>
      <c r="F81">
        <v>1.0964786234662578</v>
      </c>
      <c r="G81">
        <v>8.609</v>
      </c>
      <c r="K81" t="s">
        <v>2496</v>
      </c>
      <c r="L81" s="51">
        <v>65.056475638058345</v>
      </c>
      <c r="M81">
        <v>1.3385625000000001</v>
      </c>
    </row>
    <row r="82" spans="1:13">
      <c r="A82">
        <v>79</v>
      </c>
      <c r="B82" s="51">
        <v>119.2</v>
      </c>
      <c r="C82">
        <v>1.8439539130486509</v>
      </c>
      <c r="D82" t="s">
        <v>2497</v>
      </c>
      <c r="E82">
        <v>163.6</v>
      </c>
      <c r="F82">
        <v>1.070434240797546</v>
      </c>
      <c r="K82" t="s">
        <v>2498</v>
      </c>
      <c r="L82" s="51">
        <v>65.036475638058334</v>
      </c>
      <c r="M82">
        <v>1.2332999999999998</v>
      </c>
    </row>
    <row r="83" spans="1:13">
      <c r="A83">
        <v>80</v>
      </c>
      <c r="B83" s="51">
        <v>119.7</v>
      </c>
      <c r="C83">
        <v>1.2159056143461173</v>
      </c>
      <c r="D83" t="s">
        <v>2499</v>
      </c>
      <c r="E83">
        <v>168.13373920788138</v>
      </c>
      <c r="F83">
        <v>1.1844331641285957</v>
      </c>
      <c r="G83">
        <v>5.992</v>
      </c>
      <c r="K83" t="s">
        <v>2500</v>
      </c>
      <c r="L83" s="51">
        <v>65.016475638058338</v>
      </c>
      <c r="M83">
        <v>1.2714874999999999</v>
      </c>
    </row>
    <row r="84" spans="1:13">
      <c r="A84">
        <v>81</v>
      </c>
      <c r="B84" s="51">
        <v>120.2</v>
      </c>
      <c r="C84">
        <v>1.6233864568379097</v>
      </c>
      <c r="D84" t="s">
        <v>2501</v>
      </c>
      <c r="E84">
        <v>168.13373920788138</v>
      </c>
      <c r="F84">
        <v>1.1721453287197232</v>
      </c>
      <c r="G84">
        <v>6.1749999999999998</v>
      </c>
      <c r="K84" t="s">
        <v>2502</v>
      </c>
      <c r="L84" s="51">
        <v>64.996475638058342</v>
      </c>
      <c r="M84">
        <v>1.0443</v>
      </c>
    </row>
    <row r="85" spans="1:13">
      <c r="A85">
        <v>82</v>
      </c>
      <c r="B85" s="51">
        <v>121</v>
      </c>
      <c r="C85">
        <v>0.79857865380686777</v>
      </c>
      <c r="D85" t="s">
        <v>2503</v>
      </c>
      <c r="E85">
        <v>168.13373920788138</v>
      </c>
      <c r="F85">
        <v>1.0836328474879895</v>
      </c>
      <c r="G85">
        <v>1.06</v>
      </c>
      <c r="K85" t="s">
        <v>2504</v>
      </c>
      <c r="L85" s="51">
        <v>64.976475638058346</v>
      </c>
      <c r="M85">
        <v>1.5158625000000001</v>
      </c>
    </row>
    <row r="86" spans="1:13">
      <c r="A86">
        <v>83</v>
      </c>
      <c r="B86" s="51">
        <v>122.8</v>
      </c>
      <c r="C86">
        <v>2.1810638192061496</v>
      </c>
      <c r="D86" t="s">
        <v>2505</v>
      </c>
      <c r="E86">
        <v>168.13373920788138</v>
      </c>
      <c r="F86">
        <v>1.0866326032082076</v>
      </c>
      <c r="K86" t="s">
        <v>2506</v>
      </c>
      <c r="L86" s="51">
        <v>64.956475638058336</v>
      </c>
      <c r="M86">
        <v>1.4418124999999999</v>
      </c>
    </row>
    <row r="87" spans="1:13">
      <c r="A87">
        <v>84</v>
      </c>
      <c r="B87" s="51">
        <v>123.3</v>
      </c>
      <c r="C87">
        <v>1.3742143323796439</v>
      </c>
      <c r="D87" t="s">
        <v>1417</v>
      </c>
      <c r="E87">
        <v>170.54134060347934</v>
      </c>
      <c r="F87">
        <v>1.2814159025356238</v>
      </c>
      <c r="G87">
        <v>0.67</v>
      </c>
      <c r="K87" t="s">
        <v>2507</v>
      </c>
      <c r="L87" s="51">
        <v>64.93647563805834</v>
      </c>
      <c r="M87">
        <v>1.3065</v>
      </c>
    </row>
    <row r="88" spans="1:13">
      <c r="A88">
        <v>85</v>
      </c>
      <c r="B88" s="51">
        <v>123.8</v>
      </c>
      <c r="C88">
        <v>0.95208728909373197</v>
      </c>
      <c r="D88" t="s">
        <v>1420</v>
      </c>
      <c r="E88">
        <v>170.54134060347934</v>
      </c>
      <c r="F88">
        <v>1.4626078448812596</v>
      </c>
      <c r="K88" t="s">
        <v>2508</v>
      </c>
      <c r="L88" s="51">
        <v>64.916475638058344</v>
      </c>
      <c r="M88">
        <v>1.4992999999999999</v>
      </c>
    </row>
    <row r="89" spans="1:13">
      <c r="A89">
        <v>86</v>
      </c>
      <c r="B89" s="51">
        <v>124.3</v>
      </c>
      <c r="C89">
        <v>1.3045150716089577</v>
      </c>
      <c r="D89" t="s">
        <v>1421</v>
      </c>
      <c r="E89">
        <v>170.54134060347934</v>
      </c>
      <c r="F89">
        <v>1.4714736957235044</v>
      </c>
      <c r="K89" t="s">
        <v>2509</v>
      </c>
      <c r="L89" s="51">
        <v>64.896475638058348</v>
      </c>
      <c r="M89">
        <v>1.4193</v>
      </c>
    </row>
    <row r="90" spans="1:13">
      <c r="A90">
        <v>87</v>
      </c>
      <c r="B90" s="51">
        <v>124.8</v>
      </c>
      <c r="C90">
        <v>1.5359928070580744</v>
      </c>
      <c r="D90" t="s">
        <v>1422</v>
      </c>
      <c r="E90">
        <v>170.54134060347934</v>
      </c>
      <c r="F90">
        <v>1.3123158700645303</v>
      </c>
      <c r="K90" t="s">
        <v>2510</v>
      </c>
      <c r="L90" s="51">
        <v>64.876475638058338</v>
      </c>
      <c r="M90">
        <v>1.4418124999999999</v>
      </c>
    </row>
    <row r="91" spans="1:13">
      <c r="A91">
        <v>88</v>
      </c>
      <c r="B91" s="51">
        <v>125.3</v>
      </c>
      <c r="C91">
        <v>0.89648045877900739</v>
      </c>
      <c r="D91" t="s">
        <v>2511</v>
      </c>
      <c r="E91">
        <v>173.87743585434296</v>
      </c>
      <c r="F91">
        <v>1.1615330355043498</v>
      </c>
      <c r="G91">
        <v>7.1749999999999998</v>
      </c>
      <c r="K91" t="s">
        <v>2512</v>
      </c>
      <c r="L91" s="51">
        <v>64.856475638058342</v>
      </c>
      <c r="M91">
        <v>1.3065</v>
      </c>
    </row>
    <row r="92" spans="1:13">
      <c r="A92">
        <v>89</v>
      </c>
      <c r="B92" s="51">
        <v>125.89999999999999</v>
      </c>
      <c r="C92">
        <v>0.74759544406541145</v>
      </c>
      <c r="D92" t="s">
        <v>2513</v>
      </c>
      <c r="E92">
        <v>173.87743585434296</v>
      </c>
      <c r="F92">
        <v>1.1328888666098551</v>
      </c>
      <c r="G92">
        <v>3.718</v>
      </c>
      <c r="K92" t="s">
        <v>2514</v>
      </c>
      <c r="L92" s="51">
        <v>64.836475638058346</v>
      </c>
      <c r="M92">
        <v>1.3065</v>
      </c>
    </row>
    <row r="93" spans="1:13">
      <c r="A93">
        <v>90</v>
      </c>
      <c r="B93" s="51">
        <v>126.39999999999999</v>
      </c>
      <c r="C93">
        <v>1.1633681890235192</v>
      </c>
      <c r="D93" t="s">
        <v>2515</v>
      </c>
      <c r="E93">
        <v>173.87743585434296</v>
      </c>
      <c r="F93">
        <v>1.0507109234726064</v>
      </c>
      <c r="K93" t="s">
        <v>2516</v>
      </c>
      <c r="L93" s="51">
        <v>64.81647563805835</v>
      </c>
      <c r="M93">
        <v>1.3385625000000001</v>
      </c>
    </row>
    <row r="94" spans="1:13">
      <c r="A94">
        <v>91</v>
      </c>
      <c r="B94" s="51">
        <v>126.89999999999999</v>
      </c>
      <c r="C94">
        <v>0.98230287323590426</v>
      </c>
      <c r="D94" t="s">
        <v>2517</v>
      </c>
      <c r="E94">
        <v>177.54468409740355</v>
      </c>
      <c r="F94">
        <v>1.0625</v>
      </c>
      <c r="G94">
        <v>6.4509999999999996</v>
      </c>
      <c r="K94" t="s">
        <v>2518</v>
      </c>
      <c r="L94" s="51">
        <v>64.79647563805834</v>
      </c>
      <c r="M94">
        <v>1.3679000000000001</v>
      </c>
    </row>
    <row r="95" spans="1:13">
      <c r="A95">
        <v>92</v>
      </c>
      <c r="B95" s="51">
        <v>127.39999999999999</v>
      </c>
      <c r="C95">
        <v>0.93115878562143339</v>
      </c>
      <c r="D95" t="s">
        <v>2519</v>
      </c>
      <c r="E95">
        <v>177.54468409740355</v>
      </c>
      <c r="F95">
        <v>1.0712779417967102</v>
      </c>
      <c r="G95">
        <v>7.556</v>
      </c>
      <c r="K95" t="s">
        <v>2520</v>
      </c>
      <c r="L95" s="51">
        <v>64.79647563805834</v>
      </c>
      <c r="M95">
        <v>1.1917125</v>
      </c>
    </row>
    <row r="96" spans="1:13">
      <c r="A96">
        <v>93</v>
      </c>
      <c r="B96" s="51">
        <v>127.89999999999999</v>
      </c>
      <c r="C96">
        <v>0.8263249740414359</v>
      </c>
      <c r="D96" t="s">
        <v>2521</v>
      </c>
      <c r="E96">
        <v>177.54468409740355</v>
      </c>
      <c r="F96">
        <v>1.0107344372249005</v>
      </c>
      <c r="G96">
        <v>7.5549999999999997</v>
      </c>
      <c r="K96" t="s">
        <v>2522</v>
      </c>
      <c r="L96" s="51">
        <v>64.79647563805834</v>
      </c>
      <c r="M96">
        <v>1.1465000000000001</v>
      </c>
    </row>
    <row r="97" spans="1:13">
      <c r="A97">
        <v>94</v>
      </c>
      <c r="B97" s="51">
        <v>128.5</v>
      </c>
      <c r="C97">
        <v>1.2151241050244332</v>
      </c>
      <c r="D97" t="s">
        <v>2523</v>
      </c>
      <c r="E97">
        <v>177.54468409740355</v>
      </c>
      <c r="F97">
        <v>1.0126648501362396</v>
      </c>
      <c r="K97" t="s">
        <v>2524</v>
      </c>
      <c r="L97" s="51">
        <v>64.79647563805834</v>
      </c>
      <c r="M97">
        <v>1.2332999999999998</v>
      </c>
    </row>
    <row r="98" spans="1:13">
      <c r="A98">
        <v>95</v>
      </c>
      <c r="B98" s="51">
        <v>129.1</v>
      </c>
      <c r="C98">
        <v>1.3754052533335714</v>
      </c>
      <c r="D98" t="s">
        <v>2525</v>
      </c>
      <c r="E98">
        <v>179.38691137367178</v>
      </c>
      <c r="F98">
        <v>1.0993843447669305</v>
      </c>
      <c r="G98">
        <v>0.42199999999999999</v>
      </c>
      <c r="K98" t="s">
        <v>2526</v>
      </c>
      <c r="L98" s="51">
        <v>64.79647563805834</v>
      </c>
      <c r="M98">
        <v>1.2714874999999999</v>
      </c>
    </row>
    <row r="99" spans="1:13">
      <c r="A99">
        <v>96</v>
      </c>
      <c r="B99" s="51">
        <v>129.6</v>
      </c>
      <c r="C99">
        <v>1.3397335344055692</v>
      </c>
      <c r="D99" t="s">
        <v>2527</v>
      </c>
      <c r="E99">
        <v>179.38691137367178</v>
      </c>
      <c r="F99">
        <v>1.0943649803206299</v>
      </c>
      <c r="G99">
        <v>1.893</v>
      </c>
      <c r="K99" t="s">
        <v>2528</v>
      </c>
      <c r="L99" s="51">
        <v>64.79647563805834</v>
      </c>
      <c r="M99">
        <v>1.3679000000000001</v>
      </c>
    </row>
    <row r="100" spans="1:13">
      <c r="A100">
        <v>97</v>
      </c>
      <c r="B100" s="51">
        <v>130.1</v>
      </c>
      <c r="C100">
        <v>1.2428767625546089</v>
      </c>
      <c r="D100" t="s">
        <v>2529</v>
      </c>
      <c r="E100">
        <v>179.38691137367178</v>
      </c>
      <c r="F100">
        <v>0.68502905569007266</v>
      </c>
      <c r="G100">
        <v>1.718</v>
      </c>
      <c r="K100" t="s">
        <v>2530</v>
      </c>
      <c r="L100" s="51">
        <v>64.79647563805834</v>
      </c>
      <c r="M100">
        <v>1.0443</v>
      </c>
    </row>
    <row r="101" spans="1:13">
      <c r="A101">
        <v>98</v>
      </c>
      <c r="B101" s="51">
        <v>130.6</v>
      </c>
      <c r="C101">
        <v>2.6721377929630945</v>
      </c>
      <c r="D101" t="s">
        <v>2531</v>
      </c>
      <c r="E101">
        <v>181.84562634241956</v>
      </c>
      <c r="F101">
        <v>1.0859849839113336</v>
      </c>
      <c r="K101" t="s">
        <v>2532</v>
      </c>
      <c r="L101" s="51">
        <v>64.79647563805834</v>
      </c>
      <c r="M101">
        <v>1.0974375000000001</v>
      </c>
    </row>
    <row r="102" spans="1:13">
      <c r="A102">
        <v>99</v>
      </c>
      <c r="B102" s="51">
        <v>131.1</v>
      </c>
      <c r="C102">
        <v>1.1730761255309949</v>
      </c>
      <c r="D102" t="s">
        <v>2533</v>
      </c>
      <c r="E102">
        <v>181.84562634241956</v>
      </c>
      <c r="F102">
        <v>1.0628194111528197</v>
      </c>
      <c r="K102" t="s">
        <v>2534</v>
      </c>
      <c r="L102" s="51">
        <v>64.79647563805834</v>
      </c>
      <c r="M102">
        <v>0.98686249999999998</v>
      </c>
    </row>
    <row r="103" spans="1:13">
      <c r="A103">
        <v>100</v>
      </c>
      <c r="B103" s="51">
        <v>131.6</v>
      </c>
      <c r="C103">
        <v>2.1647508420155157</v>
      </c>
      <c r="D103" t="s">
        <v>2535</v>
      </c>
      <c r="E103">
        <v>181.84562634241956</v>
      </c>
      <c r="F103">
        <v>1.0305473509115024</v>
      </c>
      <c r="G103">
        <v>6.6280000000000001</v>
      </c>
      <c r="K103" t="s">
        <v>2536</v>
      </c>
      <c r="L103" s="51">
        <v>64.599999999999994</v>
      </c>
      <c r="M103">
        <v>1.4193</v>
      </c>
    </row>
    <row r="104" spans="1:13">
      <c r="A104">
        <v>101</v>
      </c>
      <c r="B104" s="51">
        <v>132.1</v>
      </c>
      <c r="C104">
        <v>1.1256080730568581</v>
      </c>
      <c r="D104" t="s">
        <v>2537</v>
      </c>
      <c r="E104">
        <v>181.84562634241956</v>
      </c>
      <c r="F104">
        <v>1.0628435273225887</v>
      </c>
      <c r="G104">
        <v>4.9740000000000002</v>
      </c>
      <c r="K104" t="s">
        <v>2538</v>
      </c>
      <c r="L104" s="51">
        <v>64.49401614715336</v>
      </c>
      <c r="M104">
        <v>1.2332999999999998</v>
      </c>
    </row>
    <row r="105" spans="1:13">
      <c r="A105">
        <v>102</v>
      </c>
      <c r="B105" s="51">
        <v>134.05000000000001</v>
      </c>
      <c r="C105">
        <v>1.7743393814965638</v>
      </c>
      <c r="D105" t="s">
        <v>2539</v>
      </c>
      <c r="E105">
        <v>181.84562634241956</v>
      </c>
      <c r="F105">
        <v>1.0433830107671904</v>
      </c>
      <c r="K105" t="s">
        <v>2540</v>
      </c>
      <c r="L105" s="51">
        <v>64.388032294306726</v>
      </c>
      <c r="M105">
        <v>1.4193</v>
      </c>
    </row>
    <row r="106" spans="1:13">
      <c r="A106">
        <v>103</v>
      </c>
      <c r="B106" s="51">
        <v>134.65</v>
      </c>
      <c r="C106">
        <v>0.74716182279812116</v>
      </c>
      <c r="D106" t="s">
        <v>2541</v>
      </c>
      <c r="E106">
        <v>183.83633838788452</v>
      </c>
      <c r="F106">
        <v>1.3605442176870748</v>
      </c>
      <c r="G106">
        <v>0.43099999999999999</v>
      </c>
      <c r="K106" t="s">
        <v>2542</v>
      </c>
      <c r="L106" s="51">
        <v>64.282048441460077</v>
      </c>
      <c r="M106">
        <v>1.4992999999999999</v>
      </c>
    </row>
    <row r="107" spans="1:13">
      <c r="A107">
        <v>104</v>
      </c>
      <c r="B107" s="51">
        <v>135.25</v>
      </c>
      <c r="C107">
        <v>1.478384511803535</v>
      </c>
      <c r="D107" t="s">
        <v>2543</v>
      </c>
      <c r="E107">
        <v>183.83633838788452</v>
      </c>
      <c r="F107">
        <v>1.3602610300580067</v>
      </c>
      <c r="K107" t="s">
        <v>2544</v>
      </c>
      <c r="L107" s="51">
        <v>64.176064588613428</v>
      </c>
      <c r="M107">
        <v>1.4992999999999999</v>
      </c>
    </row>
    <row r="108" spans="1:13">
      <c r="A108">
        <v>105</v>
      </c>
      <c r="B108" s="51">
        <v>135.75</v>
      </c>
      <c r="C108">
        <v>0.8256084309190358</v>
      </c>
      <c r="D108" t="s">
        <v>2545</v>
      </c>
      <c r="E108">
        <v>183.83633838788452</v>
      </c>
      <c r="F108">
        <v>1.4250698330175793</v>
      </c>
      <c r="K108" t="s">
        <v>2546</v>
      </c>
      <c r="L108" s="51">
        <v>63.75212917722687</v>
      </c>
      <c r="M108">
        <v>1.0974375000000001</v>
      </c>
    </row>
    <row r="109" spans="1:13">
      <c r="A109">
        <v>106</v>
      </c>
      <c r="B109" s="51">
        <v>137.5</v>
      </c>
      <c r="C109">
        <v>1.5352935989667891</v>
      </c>
      <c r="D109" t="s">
        <v>2547</v>
      </c>
      <c r="E109">
        <v>183.83633838788452</v>
      </c>
      <c r="F109">
        <v>1.4607785169846235</v>
      </c>
      <c r="K109" t="s">
        <v>2548</v>
      </c>
      <c r="L109" s="51">
        <v>63.646145324380228</v>
      </c>
      <c r="M109">
        <v>1.3947375</v>
      </c>
    </row>
    <row r="110" spans="1:13">
      <c r="A110">
        <v>107</v>
      </c>
      <c r="B110" s="51">
        <v>138</v>
      </c>
      <c r="C110">
        <v>1.4252450189739407</v>
      </c>
      <c r="D110" t="s">
        <v>1427</v>
      </c>
      <c r="E110">
        <v>189.08779974126412</v>
      </c>
      <c r="F110">
        <v>1.3396427320490369</v>
      </c>
      <c r="G110">
        <v>8.3650000000000002</v>
      </c>
      <c r="K110" t="s">
        <v>2549</v>
      </c>
      <c r="L110" s="51">
        <v>63.540161471533587</v>
      </c>
      <c r="M110">
        <v>1.5158625000000001</v>
      </c>
    </row>
    <row r="111" spans="1:13">
      <c r="A111">
        <v>108</v>
      </c>
      <c r="B111" s="51">
        <v>138.5</v>
      </c>
      <c r="C111">
        <v>1.2124580060117711</v>
      </c>
      <c r="D111" t="s">
        <v>1428</v>
      </c>
      <c r="E111">
        <v>189.08779974126412</v>
      </c>
      <c r="F111">
        <v>1.253032670801387</v>
      </c>
      <c r="K111" t="s">
        <v>2550</v>
      </c>
      <c r="L111" s="51">
        <v>63.434177618686945</v>
      </c>
      <c r="M111">
        <v>1.2714874999999999</v>
      </c>
    </row>
    <row r="112" spans="1:13">
      <c r="A112">
        <v>109</v>
      </c>
      <c r="B112" s="51">
        <v>139</v>
      </c>
      <c r="C112">
        <v>1.4157439965529715</v>
      </c>
      <c r="D112" t="s">
        <v>1429</v>
      </c>
      <c r="E112">
        <v>189.08779974126412</v>
      </c>
      <c r="F112">
        <v>1.2500593149127577</v>
      </c>
      <c r="K112" t="s">
        <v>2551</v>
      </c>
      <c r="L112" s="51">
        <v>63.328193765840304</v>
      </c>
      <c r="M112">
        <v>1.3947375</v>
      </c>
    </row>
    <row r="113" spans="1:13">
      <c r="A113">
        <v>110</v>
      </c>
      <c r="B113" s="51">
        <v>139.5</v>
      </c>
      <c r="C113">
        <v>1.1863110026047263</v>
      </c>
      <c r="D113" t="s">
        <v>1430</v>
      </c>
      <c r="E113">
        <v>189.08779974126412</v>
      </c>
      <c r="F113">
        <v>1.3361000444861844</v>
      </c>
      <c r="K113" t="s">
        <v>2552</v>
      </c>
      <c r="L113" s="51">
        <v>63.222209912993662</v>
      </c>
      <c r="M113">
        <v>1.3679000000000001</v>
      </c>
    </row>
    <row r="114" spans="1:13">
      <c r="A114">
        <v>111</v>
      </c>
      <c r="B114" s="51">
        <v>140</v>
      </c>
      <c r="C114">
        <v>1.3158184905577162</v>
      </c>
      <c r="D114" t="s">
        <v>2553</v>
      </c>
      <c r="E114">
        <v>191.48330321925167</v>
      </c>
      <c r="F114">
        <v>1.2032212221695879</v>
      </c>
      <c r="G114">
        <v>0.44</v>
      </c>
      <c r="K114" t="s">
        <v>2554</v>
      </c>
      <c r="L114" s="51">
        <v>63.116226060147021</v>
      </c>
      <c r="M114">
        <v>1.2714874999999999</v>
      </c>
    </row>
    <row r="115" spans="1:13">
      <c r="D115" t="s">
        <v>2555</v>
      </c>
      <c r="E115">
        <v>191.48330321925167</v>
      </c>
      <c r="F115">
        <v>1.2014738078709883</v>
      </c>
      <c r="K115" t="s">
        <v>2556</v>
      </c>
      <c r="L115" s="51">
        <v>63.010242207300379</v>
      </c>
      <c r="M115">
        <v>1.4193</v>
      </c>
    </row>
    <row r="116" spans="1:13">
      <c r="D116" t="s">
        <v>1431</v>
      </c>
      <c r="E116">
        <v>194.05280569201727</v>
      </c>
      <c r="F116">
        <v>0.77622636946269497</v>
      </c>
      <c r="G116">
        <v>0.32500000000000001</v>
      </c>
      <c r="K116" t="s">
        <v>2557</v>
      </c>
      <c r="L116" s="51">
        <v>62.904258354453738</v>
      </c>
      <c r="M116">
        <v>1.1465000000000001</v>
      </c>
    </row>
    <row r="117" spans="1:13">
      <c r="D117" t="s">
        <v>1434</v>
      </c>
      <c r="E117">
        <v>194.05280569201727</v>
      </c>
      <c r="F117">
        <v>0.88341996117190258</v>
      </c>
      <c r="K117" t="s">
        <v>2558</v>
      </c>
      <c r="L117" s="51">
        <v>62.798274501607096</v>
      </c>
      <c r="M117">
        <v>1.5314999999999999</v>
      </c>
    </row>
    <row r="118" spans="1:13">
      <c r="D118" t="s">
        <v>1435</v>
      </c>
      <c r="E118">
        <v>194.05280569201727</v>
      </c>
      <c r="F118">
        <v>0.84389189644640117</v>
      </c>
      <c r="K118" t="s">
        <v>2559</v>
      </c>
      <c r="L118" s="51">
        <v>62.692290648760455</v>
      </c>
      <c r="M118">
        <v>1.0443</v>
      </c>
    </row>
    <row r="119" spans="1:13">
      <c r="D119" t="s">
        <v>2560</v>
      </c>
      <c r="E119">
        <v>198.39112289365914</v>
      </c>
      <c r="F119">
        <v>1.1830555908917442</v>
      </c>
      <c r="G119">
        <v>7.7850000000000001</v>
      </c>
      <c r="K119" t="s">
        <v>2561</v>
      </c>
      <c r="L119" s="51">
        <v>62.586306795913814</v>
      </c>
      <c r="M119">
        <v>1.3385625000000001</v>
      </c>
    </row>
    <row r="120" spans="1:13">
      <c r="D120" t="s">
        <v>2562</v>
      </c>
      <c r="E120">
        <v>198.39112289365914</v>
      </c>
      <c r="F120">
        <v>1.1356373826262229</v>
      </c>
      <c r="G120">
        <v>6.9649999999999999</v>
      </c>
      <c r="K120" t="s">
        <v>2563</v>
      </c>
      <c r="L120" s="51">
        <v>62.480322943067172</v>
      </c>
      <c r="M120">
        <v>1.4815875000000003</v>
      </c>
    </row>
    <row r="121" spans="1:13">
      <c r="D121" t="s">
        <v>2564</v>
      </c>
      <c r="E121">
        <v>198.39112289365914</v>
      </c>
      <c r="F121">
        <v>1.1972425097896366</v>
      </c>
      <c r="G121">
        <v>7.5129999999999999</v>
      </c>
      <c r="K121" t="s">
        <v>2565</v>
      </c>
      <c r="L121" s="51">
        <v>62.374339090220531</v>
      </c>
      <c r="M121">
        <v>1.4193</v>
      </c>
    </row>
    <row r="122" spans="1:13">
      <c r="D122" t="s">
        <v>2566</v>
      </c>
      <c r="E122">
        <v>198.39112289365914</v>
      </c>
      <c r="F122">
        <v>1.1028863491485292</v>
      </c>
      <c r="K122" t="s">
        <v>2567</v>
      </c>
      <c r="L122" s="51">
        <v>62.268355237373889</v>
      </c>
      <c r="M122">
        <v>1.2714874999999999</v>
      </c>
    </row>
    <row r="123" spans="1:13">
      <c r="D123" t="s">
        <v>2568</v>
      </c>
      <c r="E123">
        <v>205.384504192712</v>
      </c>
      <c r="F123">
        <v>1.115954664341761</v>
      </c>
      <c r="G123">
        <v>7.4189999999999996</v>
      </c>
      <c r="K123" t="s">
        <v>2569</v>
      </c>
      <c r="L123" s="51">
        <v>62.162371384527248</v>
      </c>
      <c r="M123">
        <v>1.3679000000000001</v>
      </c>
    </row>
    <row r="124" spans="1:13">
      <c r="D124" t="s">
        <v>2570</v>
      </c>
      <c r="E124">
        <v>205.384504192712</v>
      </c>
      <c r="F124">
        <v>1.1025951324458787</v>
      </c>
      <c r="G124">
        <v>6.5780000000000003</v>
      </c>
      <c r="K124" t="s">
        <v>2571</v>
      </c>
      <c r="L124" s="51">
        <v>58.318566307502103</v>
      </c>
      <c r="M124">
        <v>1.4876333333333334</v>
      </c>
    </row>
    <row r="125" spans="1:13">
      <c r="D125" t="s">
        <v>2572</v>
      </c>
      <c r="E125">
        <v>205.384504192712</v>
      </c>
      <c r="F125">
        <v>1.0184398134847847</v>
      </c>
      <c r="K125" t="s">
        <v>2573</v>
      </c>
      <c r="L125" s="51">
        <v>57.947180591941773</v>
      </c>
      <c r="M125">
        <v>1.5892999999999999</v>
      </c>
    </row>
    <row r="126" spans="1:13">
      <c r="D126" t="s">
        <v>2574</v>
      </c>
      <c r="E126">
        <v>205.384504192712</v>
      </c>
      <c r="F126">
        <v>1.0949676250248612</v>
      </c>
      <c r="G126">
        <v>5.0709999999999997</v>
      </c>
      <c r="K126" t="s">
        <v>2573</v>
      </c>
      <c r="L126" s="51">
        <v>57.947180591941773</v>
      </c>
      <c r="M126">
        <v>1.3281888888888889</v>
      </c>
    </row>
    <row r="127" spans="1:13">
      <c r="D127" t="s">
        <v>2575</v>
      </c>
      <c r="E127">
        <v>210.57055766593297</v>
      </c>
      <c r="F127">
        <v>1.1341681574239715</v>
      </c>
      <c r="G127">
        <v>0.70399999999999996</v>
      </c>
      <c r="K127" t="s">
        <v>2576</v>
      </c>
      <c r="L127" s="51">
        <v>57.204409160821115</v>
      </c>
      <c r="M127">
        <v>1.3385625000000001</v>
      </c>
    </row>
    <row r="128" spans="1:13">
      <c r="D128" t="s">
        <v>2577</v>
      </c>
      <c r="E128">
        <v>210.57055766593297</v>
      </c>
      <c r="F128">
        <v>1.1984665697674421</v>
      </c>
      <c r="K128" t="s">
        <v>2578</v>
      </c>
      <c r="L128" s="51">
        <v>56.907300588372848</v>
      </c>
      <c r="M128">
        <v>1.4031666666666669</v>
      </c>
    </row>
    <row r="129" spans="4:13">
      <c r="D129" t="s">
        <v>2579</v>
      </c>
      <c r="E129">
        <v>210.57055766593297</v>
      </c>
      <c r="F129">
        <v>1.1678523916451298</v>
      </c>
      <c r="K129" t="s">
        <v>2580</v>
      </c>
      <c r="L129" s="51">
        <v>56.16452915725219</v>
      </c>
      <c r="M129">
        <v>1.5537140625000001</v>
      </c>
    </row>
    <row r="130" spans="4:13">
      <c r="D130" t="s">
        <v>2581</v>
      </c>
      <c r="E130">
        <v>210.57055766593297</v>
      </c>
      <c r="F130">
        <v>0.95194919499105557</v>
      </c>
      <c r="K130" t="s">
        <v>2582</v>
      </c>
      <c r="L130" s="51">
        <v>55.421757726131531</v>
      </c>
      <c r="M130">
        <v>1.6125096000000001</v>
      </c>
    </row>
    <row r="131" spans="4:13">
      <c r="D131" t="s">
        <v>1438</v>
      </c>
      <c r="E131">
        <v>212.36206390399232</v>
      </c>
      <c r="F131">
        <v>1.2918273178241533</v>
      </c>
      <c r="G131">
        <v>0.129</v>
      </c>
      <c r="K131" t="s">
        <v>2583</v>
      </c>
      <c r="L131" s="51">
        <v>54.678986295010873</v>
      </c>
      <c r="M131">
        <v>1.4523703125</v>
      </c>
    </row>
    <row r="132" spans="4:13">
      <c r="D132" t="s">
        <v>1439</v>
      </c>
      <c r="E132">
        <v>212.36206390399232</v>
      </c>
      <c r="F132">
        <v>1.2052042247348584</v>
      </c>
      <c r="K132" t="s">
        <v>2584</v>
      </c>
      <c r="L132" s="51">
        <v>52.822057717209233</v>
      </c>
      <c r="M132">
        <v>1.5722791999999999</v>
      </c>
    </row>
    <row r="133" spans="4:13">
      <c r="D133" t="s">
        <v>1440</v>
      </c>
      <c r="E133">
        <v>212.36206390399232</v>
      </c>
      <c r="F133">
        <v>1.2418700489156314</v>
      </c>
      <c r="K133" t="s">
        <v>2585</v>
      </c>
      <c r="L133" s="51">
        <v>51.585931087206731</v>
      </c>
      <c r="M133">
        <v>1.5892999999999999</v>
      </c>
    </row>
    <row r="134" spans="4:13">
      <c r="D134" t="s">
        <v>1441</v>
      </c>
      <c r="E134">
        <v>212.36206390399232</v>
      </c>
      <c r="F134">
        <v>1.2502424137483226</v>
      </c>
      <c r="K134" t="s">
        <v>2586</v>
      </c>
      <c r="L134" s="51">
        <v>51.488535473813059</v>
      </c>
      <c r="M134">
        <v>1.4992999999999999</v>
      </c>
    </row>
    <row r="135" spans="4:13">
      <c r="D135" t="s">
        <v>1442</v>
      </c>
      <c r="E135">
        <v>217.42624167646824</v>
      </c>
      <c r="F135">
        <v>1.3742094553026358</v>
      </c>
      <c r="G135">
        <v>0.14499999999999999</v>
      </c>
      <c r="K135" t="s">
        <v>2587</v>
      </c>
      <c r="L135" s="51">
        <v>51.391139860419386</v>
      </c>
      <c r="M135">
        <v>1.5314999999999999</v>
      </c>
    </row>
    <row r="136" spans="4:13">
      <c r="D136" t="s">
        <v>1443</v>
      </c>
      <c r="E136">
        <v>217.42624167646824</v>
      </c>
      <c r="F136">
        <v>1.2533813330977519</v>
      </c>
      <c r="K136" t="s">
        <v>2588</v>
      </c>
      <c r="L136" s="51">
        <v>51.293744247025714</v>
      </c>
      <c r="M136">
        <v>1.5158625000000001</v>
      </c>
    </row>
    <row r="137" spans="4:13">
      <c r="D137" t="s">
        <v>1444</v>
      </c>
      <c r="E137">
        <v>217.42624167646824</v>
      </c>
      <c r="F137">
        <v>1.2140799634452821</v>
      </c>
      <c r="K137" t="s">
        <v>2589</v>
      </c>
      <c r="L137" s="51">
        <v>51.196348633632041</v>
      </c>
      <c r="M137">
        <v>1.4625000000000001</v>
      </c>
    </row>
    <row r="138" spans="4:13">
      <c r="D138" t="s">
        <v>1445</v>
      </c>
      <c r="E138">
        <v>217.42624167646824</v>
      </c>
      <c r="F138">
        <v>1.2414343157413754</v>
      </c>
      <c r="K138" t="s">
        <v>2590</v>
      </c>
      <c r="L138" s="51">
        <v>51.098953020238369</v>
      </c>
      <c r="M138">
        <v>1.6036874999999997</v>
      </c>
    </row>
    <row r="139" spans="4:13">
      <c r="D139" t="s">
        <v>2591</v>
      </c>
      <c r="E139">
        <v>225.9685615144594</v>
      </c>
      <c r="F139">
        <v>1.1509280703237261</v>
      </c>
      <c r="G139">
        <v>6.7000000000000004E-2</v>
      </c>
      <c r="K139" t="s">
        <v>2592</v>
      </c>
      <c r="L139" s="51">
        <v>51.001557406844697</v>
      </c>
      <c r="M139">
        <v>1.4193</v>
      </c>
    </row>
    <row r="140" spans="4:13">
      <c r="D140" t="s">
        <v>2593</v>
      </c>
      <c r="E140">
        <v>225.9685615144594</v>
      </c>
      <c r="F140">
        <v>1.22889937243021</v>
      </c>
      <c r="K140" t="s">
        <v>2594</v>
      </c>
      <c r="L140" s="51">
        <v>50.904161793451024</v>
      </c>
      <c r="M140">
        <v>1.4625000000000001</v>
      </c>
    </row>
    <row r="141" spans="4:13">
      <c r="D141" t="s">
        <v>2595</v>
      </c>
      <c r="E141">
        <v>225.9685615144594</v>
      </c>
      <c r="F141">
        <v>1.1981144824341954</v>
      </c>
      <c r="K141" t="s">
        <v>2596</v>
      </c>
      <c r="L141" s="51">
        <v>50.806766180057352</v>
      </c>
      <c r="M141">
        <v>1.5158625000000001</v>
      </c>
    </row>
    <row r="142" spans="4:13">
      <c r="D142" t="s">
        <v>2597</v>
      </c>
      <c r="E142">
        <v>231.30191322035321</v>
      </c>
      <c r="F142">
        <v>1.155318343962815</v>
      </c>
      <c r="G142">
        <v>1.9E-2</v>
      </c>
      <c r="K142" t="s">
        <v>2598</v>
      </c>
      <c r="L142" s="51">
        <v>50.709370566663679</v>
      </c>
      <c r="M142">
        <v>1.2714874999999999</v>
      </c>
    </row>
    <row r="143" spans="4:13">
      <c r="D143" t="s">
        <v>2599</v>
      </c>
      <c r="E143">
        <v>231.30191322035321</v>
      </c>
      <c r="F143">
        <v>1.1526377295492489</v>
      </c>
      <c r="K143" t="s">
        <v>2600</v>
      </c>
      <c r="L143" s="51">
        <v>50.611974953270007</v>
      </c>
      <c r="M143">
        <v>1.2332999999999998</v>
      </c>
    </row>
    <row r="144" spans="4:13">
      <c r="D144" t="s">
        <v>2601</v>
      </c>
      <c r="E144">
        <v>231.30191322035321</v>
      </c>
      <c r="F144">
        <v>1.0965854711229803</v>
      </c>
      <c r="K144" t="s">
        <v>2602</v>
      </c>
      <c r="L144" s="51">
        <v>50.514579339876335</v>
      </c>
      <c r="M144">
        <v>1.4815875000000003</v>
      </c>
    </row>
    <row r="145" spans="4:13">
      <c r="D145" t="s">
        <v>2603</v>
      </c>
      <c r="E145">
        <v>233.30191322035321</v>
      </c>
      <c r="F145">
        <v>1.0375595325411962</v>
      </c>
      <c r="G145">
        <v>0.111</v>
      </c>
      <c r="K145" t="s">
        <v>2604</v>
      </c>
      <c r="L145" s="51">
        <v>50.417183726482662</v>
      </c>
      <c r="M145">
        <v>1.4625000000000001</v>
      </c>
    </row>
    <row r="146" spans="4:13">
      <c r="D146" t="s">
        <v>2605</v>
      </c>
      <c r="E146">
        <v>233.30191322035321</v>
      </c>
      <c r="F146">
        <v>0.99946401902760118</v>
      </c>
      <c r="K146" t="s">
        <v>2606</v>
      </c>
      <c r="L146" s="51">
        <v>50.31978811308899</v>
      </c>
      <c r="M146">
        <v>1.4992999999999999</v>
      </c>
    </row>
    <row r="147" spans="4:13">
      <c r="D147" t="s">
        <v>2607</v>
      </c>
      <c r="E147">
        <v>233.30191322035321</v>
      </c>
      <c r="F147">
        <v>1.0244650921359979</v>
      </c>
      <c r="K147" t="s">
        <v>2608</v>
      </c>
      <c r="L147" s="51">
        <v>50.222392499695317</v>
      </c>
      <c r="M147">
        <v>1.2714874999999999</v>
      </c>
    </row>
    <row r="148" spans="4:13">
      <c r="D148" t="s">
        <v>2609</v>
      </c>
      <c r="E148">
        <v>76.300000000000011</v>
      </c>
      <c r="F148">
        <v>0.76077119156657746</v>
      </c>
      <c r="G148">
        <v>0.13200000000000001</v>
      </c>
      <c r="K148" t="s">
        <v>2610</v>
      </c>
      <c r="L148" s="51">
        <v>50.124996886301645</v>
      </c>
      <c r="M148">
        <v>1.3679000000000001</v>
      </c>
    </row>
    <row r="149" spans="4:13">
      <c r="D149" t="s">
        <v>2611</v>
      </c>
      <c r="E149">
        <v>76.300000000000011</v>
      </c>
      <c r="F149">
        <v>0.66684174932371509</v>
      </c>
      <c r="K149" t="s">
        <v>2612</v>
      </c>
      <c r="L149" s="51">
        <v>50.027601272907972</v>
      </c>
      <c r="M149">
        <v>1.4193</v>
      </c>
    </row>
    <row r="150" spans="4:13">
      <c r="D150" t="s">
        <v>2613</v>
      </c>
      <c r="E150">
        <v>76.300000000000011</v>
      </c>
      <c r="F150">
        <v>0.75991660415655482</v>
      </c>
      <c r="K150" t="s">
        <v>2614</v>
      </c>
      <c r="L150" s="51">
        <v>49.9302056595143</v>
      </c>
      <c r="M150">
        <v>1.4992999999999999</v>
      </c>
    </row>
    <row r="151" spans="4:13">
      <c r="D151" t="s">
        <v>2615</v>
      </c>
      <c r="E151">
        <v>77.3</v>
      </c>
      <c r="F151">
        <v>0.57659418519423411</v>
      </c>
      <c r="G151">
        <v>0.11</v>
      </c>
      <c r="K151" t="s">
        <v>2616</v>
      </c>
      <c r="L151" s="51">
        <v>49.832810046120628</v>
      </c>
      <c r="M151">
        <v>1.3385625000000001</v>
      </c>
    </row>
    <row r="152" spans="4:13">
      <c r="D152" t="s">
        <v>2617</v>
      </c>
      <c r="E152">
        <v>77.3</v>
      </c>
      <c r="F152">
        <v>0.61949749279846367</v>
      </c>
      <c r="K152" t="s">
        <v>2618</v>
      </c>
      <c r="L152" s="51">
        <v>49.735414432726955</v>
      </c>
      <c r="M152">
        <v>1.4625000000000001</v>
      </c>
    </row>
    <row r="153" spans="4:13">
      <c r="D153" t="s">
        <v>2619</v>
      </c>
      <c r="E153">
        <v>77.3</v>
      </c>
      <c r="F153">
        <v>0.48899033434495426</v>
      </c>
      <c r="K153" t="s">
        <v>2620</v>
      </c>
      <c r="L153" s="51">
        <v>47.884897778247158</v>
      </c>
      <c r="M153">
        <v>1.4418124999999999</v>
      </c>
    </row>
    <row r="154" spans="4:13">
      <c r="D154" t="s">
        <v>2621</v>
      </c>
      <c r="E154">
        <v>77.3</v>
      </c>
      <c r="F154">
        <v>0.5364367141873454</v>
      </c>
      <c r="K154" t="s">
        <v>2622</v>
      </c>
      <c r="L154" s="51">
        <v>47.787502164853485</v>
      </c>
      <c r="M154">
        <v>1.4992999999999999</v>
      </c>
    </row>
    <row r="155" spans="4:13">
      <c r="D155" t="s">
        <v>2623</v>
      </c>
      <c r="E155">
        <v>80.5</v>
      </c>
      <c r="F155">
        <v>0.64474650780608056</v>
      </c>
      <c r="G155">
        <v>5.2999999999999999E-2</v>
      </c>
      <c r="K155" t="s">
        <v>2624</v>
      </c>
      <c r="L155" s="51">
        <v>47.690106551459813</v>
      </c>
      <c r="M155">
        <v>1.4625000000000001</v>
      </c>
    </row>
    <row r="156" spans="4:13">
      <c r="D156" t="s">
        <v>2625</v>
      </c>
      <c r="E156">
        <v>80.5</v>
      </c>
      <c r="F156">
        <v>0.64432623812754408</v>
      </c>
      <c r="K156" t="s">
        <v>2626</v>
      </c>
      <c r="L156" s="51">
        <v>47.592710938066141</v>
      </c>
      <c r="M156">
        <v>1.4815875000000003</v>
      </c>
    </row>
    <row r="157" spans="4:13">
      <c r="D157" t="s">
        <v>2627</v>
      </c>
      <c r="E157">
        <v>68.304505026169295</v>
      </c>
      <c r="F157">
        <v>1.531661316564795</v>
      </c>
      <c r="G157">
        <v>7.1999999999999995E-2</v>
      </c>
      <c r="K157" t="s">
        <v>2628</v>
      </c>
      <c r="L157" s="51">
        <v>47.495315324672468</v>
      </c>
      <c r="M157">
        <v>1.3679000000000001</v>
      </c>
    </row>
    <row r="158" spans="4:13">
      <c r="D158" t="s">
        <v>2629</v>
      </c>
      <c r="E158">
        <v>68.304505026169295</v>
      </c>
      <c r="F158">
        <v>1.5176014886636306</v>
      </c>
      <c r="K158" t="s">
        <v>2630</v>
      </c>
      <c r="L158" s="51">
        <v>47.397919711278796</v>
      </c>
      <c r="M158">
        <v>1.2332999999999998</v>
      </c>
    </row>
    <row r="159" spans="4:13">
      <c r="D159" t="s">
        <v>2631</v>
      </c>
      <c r="E159">
        <v>68.304505026169295</v>
      </c>
      <c r="F159">
        <v>1.4693165284277838</v>
      </c>
      <c r="K159" t="s">
        <v>2632</v>
      </c>
      <c r="L159" s="51">
        <v>47.300524097885123</v>
      </c>
      <c r="M159">
        <v>1.3679000000000001</v>
      </c>
    </row>
    <row r="160" spans="4:13">
      <c r="D160" t="s">
        <v>2633</v>
      </c>
      <c r="E160">
        <v>66.759390801439139</v>
      </c>
      <c r="F160">
        <v>1.5787820512820514</v>
      </c>
      <c r="G160">
        <v>4.3999999999999997E-2</v>
      </c>
      <c r="K160" t="s">
        <v>2634</v>
      </c>
      <c r="L160" s="51">
        <v>47.203128484491451</v>
      </c>
      <c r="M160">
        <v>1.5892999999999999</v>
      </c>
    </row>
    <row r="161" spans="4:13">
      <c r="D161" t="s">
        <v>2635</v>
      </c>
      <c r="E161">
        <v>66.759390801439139</v>
      </c>
      <c r="F161">
        <v>1.5726869584536771</v>
      </c>
      <c r="K161" t="s">
        <v>2636</v>
      </c>
      <c r="L161" s="51">
        <v>47.105732871097779</v>
      </c>
      <c r="M161">
        <v>1.5892999999999999</v>
      </c>
    </row>
    <row r="162" spans="4:13">
      <c r="D162" t="s">
        <v>2637</v>
      </c>
      <c r="E162">
        <v>66.759390801439139</v>
      </c>
      <c r="F162">
        <v>1.2919209850964142</v>
      </c>
      <c r="K162" t="s">
        <v>2638</v>
      </c>
      <c r="L162" s="51">
        <v>47.008337257704106</v>
      </c>
      <c r="M162">
        <v>1.4193</v>
      </c>
    </row>
    <row r="163" spans="4:13">
      <c r="D163" t="s">
        <v>2639</v>
      </c>
      <c r="E163">
        <v>58.518781602878271</v>
      </c>
      <c r="F163">
        <v>1.4751132775497315</v>
      </c>
      <c r="G163">
        <v>8.5999999999999993E-2</v>
      </c>
      <c r="K163" t="s">
        <v>2640</v>
      </c>
      <c r="L163" s="51">
        <v>46.910941644310434</v>
      </c>
      <c r="M163">
        <v>1.2332999999999998</v>
      </c>
    </row>
    <row r="164" spans="4:13">
      <c r="D164" t="s">
        <v>2641</v>
      </c>
      <c r="E164">
        <v>58.518781602878271</v>
      </c>
      <c r="F164">
        <v>1.4162336819914052</v>
      </c>
      <c r="K164" t="s">
        <v>2642</v>
      </c>
      <c r="L164" s="51">
        <v>46.813546030916761</v>
      </c>
      <c r="M164">
        <v>1.3065</v>
      </c>
    </row>
    <row r="165" spans="4:13">
      <c r="D165" t="s">
        <v>2643</v>
      </c>
      <c r="E165">
        <v>58.518781602878271</v>
      </c>
      <c r="F165">
        <v>1.5059305627774893</v>
      </c>
      <c r="K165" t="s">
        <v>2644</v>
      </c>
      <c r="L165" s="51">
        <v>46.716150417523089</v>
      </c>
      <c r="M165">
        <v>1.2332999999999998</v>
      </c>
    </row>
    <row r="166" spans="4:13">
      <c r="D166" t="s">
        <v>2645</v>
      </c>
      <c r="E166">
        <v>52.595843741412651</v>
      </c>
      <c r="F166">
        <v>1.3867716393737628</v>
      </c>
      <c r="G166">
        <v>0.126</v>
      </c>
      <c r="K166" t="s">
        <v>2646</v>
      </c>
      <c r="L166" s="51">
        <v>46.618754804129416</v>
      </c>
      <c r="M166">
        <v>1.3947375</v>
      </c>
    </row>
    <row r="167" spans="4:13">
      <c r="D167" t="s">
        <v>2647</v>
      </c>
      <c r="E167">
        <v>52.595843741412651</v>
      </c>
      <c r="F167">
        <v>1.409433648223122</v>
      </c>
      <c r="K167" t="s">
        <v>2648</v>
      </c>
      <c r="L167" s="51">
        <v>46.521359190735744</v>
      </c>
      <c r="M167">
        <v>1.2714874999999999</v>
      </c>
    </row>
    <row r="168" spans="4:13">
      <c r="D168" t="s">
        <v>2649</v>
      </c>
      <c r="E168">
        <v>52.595843741412651</v>
      </c>
      <c r="F168">
        <v>1.4865612488191102</v>
      </c>
      <c r="K168" t="s">
        <v>2650</v>
      </c>
      <c r="L168" s="51">
        <v>46.423963577342072</v>
      </c>
      <c r="M168">
        <v>1.5609</v>
      </c>
    </row>
    <row r="169" spans="4:13">
      <c r="D169" t="s">
        <v>2651</v>
      </c>
      <c r="E169">
        <v>39.822899483643312</v>
      </c>
      <c r="F169">
        <v>1.4166078489521552</v>
      </c>
      <c r="G169">
        <v>1.1619999999999999</v>
      </c>
      <c r="K169" t="s">
        <v>2652</v>
      </c>
      <c r="L169" s="51">
        <v>46.326567963948399</v>
      </c>
      <c r="M169">
        <v>1.1917125</v>
      </c>
    </row>
    <row r="170" spans="4:13">
      <c r="D170" t="s">
        <v>2653</v>
      </c>
      <c r="E170">
        <v>39.822899483643312</v>
      </c>
      <c r="F170">
        <v>1.5093153910072938</v>
      </c>
      <c r="K170" t="s">
        <v>2654</v>
      </c>
      <c r="L170" s="51">
        <v>46.229172350554727</v>
      </c>
      <c r="M170">
        <v>1.3947375</v>
      </c>
    </row>
    <row r="171" spans="4:13">
      <c r="D171" t="s">
        <v>2655</v>
      </c>
      <c r="E171">
        <v>39.822899483643312</v>
      </c>
      <c r="F171">
        <v>1.5414880412469565</v>
      </c>
      <c r="K171" t="s">
        <v>2656</v>
      </c>
      <c r="L171" s="51">
        <v>46.131776737161047</v>
      </c>
      <c r="M171">
        <v>1.2714874999999999</v>
      </c>
    </row>
    <row r="172" spans="4:13">
      <c r="D172" t="s">
        <v>2657</v>
      </c>
      <c r="E172">
        <v>9.5</v>
      </c>
      <c r="F172">
        <v>1.5814544087548559</v>
      </c>
      <c r="G172">
        <v>4.2999999999999997E-2</v>
      </c>
      <c r="K172" t="s">
        <v>2658</v>
      </c>
      <c r="L172" s="51">
        <v>46.034381123767375</v>
      </c>
      <c r="M172">
        <v>1.4193</v>
      </c>
    </row>
    <row r="173" spans="4:13">
      <c r="D173" t="s">
        <v>2659</v>
      </c>
      <c r="E173">
        <v>9.5</v>
      </c>
      <c r="F173">
        <v>1.5845281322257432</v>
      </c>
      <c r="K173" t="s">
        <v>2660</v>
      </c>
      <c r="L173" s="51">
        <v>45.936985510373702</v>
      </c>
      <c r="M173">
        <v>1.4418124999999999</v>
      </c>
    </row>
    <row r="174" spans="4:13">
      <c r="D174" t="s">
        <v>2661</v>
      </c>
      <c r="E174">
        <v>9.5</v>
      </c>
      <c r="F174">
        <v>1.5601881805687705</v>
      </c>
      <c r="K174" t="s">
        <v>2662</v>
      </c>
      <c r="L174" s="51">
        <v>45.83958989698003</v>
      </c>
      <c r="M174">
        <v>1.2714874999999999</v>
      </c>
    </row>
    <row r="175" spans="4:13">
      <c r="D175" t="s">
        <v>1448</v>
      </c>
      <c r="F175">
        <v>2.1296897154958105</v>
      </c>
      <c r="G175">
        <v>1.7030000000000001</v>
      </c>
      <c r="K175" t="s">
        <v>2663</v>
      </c>
      <c r="L175" s="51">
        <v>45.639589896980034</v>
      </c>
      <c r="M175">
        <v>1.6184999999999994</v>
      </c>
    </row>
    <row r="176" spans="4:13">
      <c r="D176" t="s">
        <v>1450</v>
      </c>
      <c r="F176">
        <v>2.2675231459387231</v>
      </c>
      <c r="K176" t="s">
        <v>2664</v>
      </c>
      <c r="L176" s="51">
        <v>45.544770887446532</v>
      </c>
      <c r="M176">
        <v>1.6339625</v>
      </c>
    </row>
    <row r="177" spans="4:13">
      <c r="D177" t="s">
        <v>1451</v>
      </c>
      <c r="F177">
        <v>2.2379388883681695</v>
      </c>
      <c r="K177" t="s">
        <v>2665</v>
      </c>
      <c r="L177" s="51">
        <v>45.070675839779028</v>
      </c>
      <c r="M177">
        <v>1.6503000000000003</v>
      </c>
    </row>
    <row r="178" spans="4:13">
      <c r="D178" t="s">
        <v>1452</v>
      </c>
      <c r="F178">
        <v>2.3126098978348488</v>
      </c>
      <c r="G178">
        <v>2.1040000000000001</v>
      </c>
      <c r="K178" t="s">
        <v>2666</v>
      </c>
      <c r="L178" s="51">
        <v>44.975856830245519</v>
      </c>
      <c r="M178">
        <v>1.5314999999999999</v>
      </c>
    </row>
    <row r="179" spans="4:13">
      <c r="D179" t="s">
        <v>1453</v>
      </c>
      <c r="F179">
        <v>2.1559816013351245</v>
      </c>
      <c r="K179" t="s">
        <v>2667</v>
      </c>
      <c r="L179" s="51">
        <v>44.881037820712024</v>
      </c>
      <c r="M179">
        <v>1.1465000000000001</v>
      </c>
    </row>
    <row r="180" spans="4:13">
      <c r="D180" t="s">
        <v>1453</v>
      </c>
      <c r="F180">
        <v>2.0311854715309656</v>
      </c>
      <c r="K180" t="s">
        <v>2668</v>
      </c>
      <c r="L180" s="51">
        <v>44.786218811178514</v>
      </c>
      <c r="M180">
        <v>1.4625000000000001</v>
      </c>
    </row>
    <row r="181" spans="4:13">
      <c r="D181" t="s">
        <v>1455</v>
      </c>
      <c r="F181">
        <v>2.0514851926074376</v>
      </c>
      <c r="K181" t="s">
        <v>2669</v>
      </c>
      <c r="L181" s="51">
        <v>44.691399801645019</v>
      </c>
      <c r="M181">
        <v>1.3679000000000001</v>
      </c>
    </row>
    <row r="182" spans="4:13">
      <c r="D182" t="s">
        <v>1456</v>
      </c>
      <c r="F182">
        <v>2.1193469767818467</v>
      </c>
      <c r="K182" t="s">
        <v>2670</v>
      </c>
      <c r="L182" s="51">
        <v>44.59658079211151</v>
      </c>
      <c r="M182">
        <v>1.1465000000000001</v>
      </c>
    </row>
    <row r="183" spans="4:13">
      <c r="D183" t="s">
        <v>2671</v>
      </c>
      <c r="E183">
        <v>-35.799999999999997</v>
      </c>
      <c r="F183">
        <v>0.67193767655367231</v>
      </c>
      <c r="G183">
        <v>0.19900000000000001</v>
      </c>
      <c r="K183" t="s">
        <v>2672</v>
      </c>
      <c r="L183" s="51">
        <v>44.501761782578015</v>
      </c>
      <c r="M183">
        <v>1.3947375</v>
      </c>
    </row>
    <row r="184" spans="4:13">
      <c r="D184" t="s">
        <v>2673</v>
      </c>
      <c r="E184">
        <v>-35.799999999999997</v>
      </c>
      <c r="F184">
        <v>0.75645693475494713</v>
      </c>
      <c r="K184" t="s">
        <v>2674</v>
      </c>
      <c r="L184" s="51">
        <v>44.406942773044506</v>
      </c>
      <c r="M184">
        <v>1.0974375000000001</v>
      </c>
    </row>
    <row r="185" spans="4:13">
      <c r="D185" t="s">
        <v>2675</v>
      </c>
      <c r="E185">
        <v>-35.799999999999997</v>
      </c>
      <c r="F185">
        <v>0.56334587541531889</v>
      </c>
      <c r="K185" t="s">
        <v>2676</v>
      </c>
      <c r="L185" s="51">
        <v>44.312123763511011</v>
      </c>
      <c r="M185">
        <v>1.2332999999999998</v>
      </c>
    </row>
    <row r="186" spans="4:13">
      <c r="D186" t="s">
        <v>2677</v>
      </c>
      <c r="E186">
        <v>-35.799999999999997</v>
      </c>
      <c r="F186">
        <v>0.63363891487371382</v>
      </c>
      <c r="G186">
        <v>3.9E-2</v>
      </c>
      <c r="K186" t="s">
        <v>2678</v>
      </c>
      <c r="L186" s="51">
        <v>44.217304753977501</v>
      </c>
      <c r="M186">
        <v>1.2332999999999998</v>
      </c>
    </row>
    <row r="187" spans="4:13">
      <c r="D187" t="s">
        <v>2679</v>
      </c>
      <c r="E187">
        <v>-35.799999999999997</v>
      </c>
      <c r="F187">
        <v>0.68645082743382779</v>
      </c>
      <c r="K187" t="s">
        <v>2680</v>
      </c>
      <c r="L187" s="51">
        <v>44.122485744444006</v>
      </c>
      <c r="M187">
        <v>1.5158625000000001</v>
      </c>
    </row>
    <row r="188" spans="4:13">
      <c r="D188" t="s">
        <v>2681</v>
      </c>
      <c r="E188">
        <v>-35.799999999999997</v>
      </c>
      <c r="F188">
        <v>0.64234359574810018</v>
      </c>
      <c r="K188" t="s">
        <v>2682</v>
      </c>
      <c r="L188" s="51">
        <v>44.027666734910497</v>
      </c>
      <c r="M188">
        <v>1.3065</v>
      </c>
    </row>
    <row r="189" spans="4:13">
      <c r="D189" t="s">
        <v>1458</v>
      </c>
      <c r="E189">
        <v>-41.3</v>
      </c>
      <c r="F189">
        <v>1.1068169900367069</v>
      </c>
      <c r="G189">
        <v>2.8439999999999999</v>
      </c>
      <c r="K189" t="s">
        <v>2683</v>
      </c>
      <c r="L189" s="51">
        <v>43.932847725377002</v>
      </c>
      <c r="M189">
        <v>1.3065</v>
      </c>
    </row>
    <row r="190" spans="4:13">
      <c r="D190" t="s">
        <v>1460</v>
      </c>
      <c r="E190">
        <v>-41.3</v>
      </c>
      <c r="F190">
        <v>0.95548457411133469</v>
      </c>
      <c r="K190" t="s">
        <v>2684</v>
      </c>
      <c r="L190" s="51">
        <v>43.838028715843492</v>
      </c>
      <c r="M190">
        <v>1.4418124999999999</v>
      </c>
    </row>
    <row r="191" spans="4:13">
      <c r="D191" t="s">
        <v>1461</v>
      </c>
      <c r="E191">
        <v>-41.3</v>
      </c>
      <c r="F191">
        <v>0.9880819931746706</v>
      </c>
      <c r="K191" t="s">
        <v>2685</v>
      </c>
      <c r="L191" s="51">
        <v>43.743209706309997</v>
      </c>
      <c r="M191">
        <v>1.4625000000000001</v>
      </c>
    </row>
    <row r="192" spans="4:13">
      <c r="D192" t="s">
        <v>1462</v>
      </c>
      <c r="E192">
        <v>-41.3</v>
      </c>
      <c r="F192">
        <v>1.1717355519371893</v>
      </c>
      <c r="K192" t="s">
        <v>2686</v>
      </c>
      <c r="L192" s="51">
        <v>43.648390696776488</v>
      </c>
      <c r="M192">
        <v>1.1917125</v>
      </c>
    </row>
    <row r="193" spans="4:13">
      <c r="D193" t="s">
        <v>1463</v>
      </c>
      <c r="E193">
        <v>-69.400000000000006</v>
      </c>
      <c r="F193">
        <v>0.22444359817205164</v>
      </c>
      <c r="G193">
        <v>8.5000000000000006E-2</v>
      </c>
      <c r="K193" t="s">
        <v>2687</v>
      </c>
      <c r="L193" s="51">
        <v>43.553571687242993</v>
      </c>
      <c r="M193">
        <v>1.1917125</v>
      </c>
    </row>
    <row r="194" spans="4:13">
      <c r="D194" t="s">
        <v>1464</v>
      </c>
      <c r="E194">
        <v>-69.400000000000006</v>
      </c>
      <c r="F194">
        <v>0.22178245174953071</v>
      </c>
      <c r="K194" t="s">
        <v>2688</v>
      </c>
      <c r="L194" s="51">
        <v>43.458752677709484</v>
      </c>
      <c r="M194">
        <v>1.0443</v>
      </c>
    </row>
    <row r="195" spans="4:13">
      <c r="D195" t="s">
        <v>1465</v>
      </c>
      <c r="E195">
        <v>-69.400000000000006</v>
      </c>
      <c r="F195">
        <v>0.18681573824989614</v>
      </c>
      <c r="K195" t="s">
        <v>2689</v>
      </c>
      <c r="L195" s="51">
        <v>43.363933668175989</v>
      </c>
      <c r="M195">
        <v>1.1465000000000001</v>
      </c>
    </row>
    <row r="196" spans="4:13">
      <c r="D196" t="s">
        <v>1466</v>
      </c>
      <c r="E196">
        <v>-69.400000000000006</v>
      </c>
      <c r="F196">
        <v>0.27347107582617064</v>
      </c>
      <c r="K196" t="s">
        <v>2690</v>
      </c>
      <c r="L196" s="51">
        <v>43.269114658642479</v>
      </c>
      <c r="M196">
        <v>1.3679000000000001</v>
      </c>
    </row>
    <row r="197" spans="4:13">
      <c r="D197" t="s">
        <v>1467</v>
      </c>
      <c r="E197">
        <v>-86.4</v>
      </c>
      <c r="F197">
        <v>0.65373339613754111</v>
      </c>
      <c r="G197">
        <v>0.215</v>
      </c>
      <c r="K197" t="s">
        <v>2691</v>
      </c>
      <c r="L197" s="51">
        <v>43.174295649108984</v>
      </c>
      <c r="M197">
        <v>1.4992999999999999</v>
      </c>
    </row>
    <row r="198" spans="4:13">
      <c r="D198" t="s">
        <v>1468</v>
      </c>
      <c r="E198">
        <v>-86.4</v>
      </c>
      <c r="F198">
        <v>0.68555721512888468</v>
      </c>
      <c r="K198" t="s">
        <v>2692</v>
      </c>
      <c r="L198" s="51">
        <v>43.079476639575475</v>
      </c>
      <c r="M198">
        <v>1.4815875000000003</v>
      </c>
    </row>
    <row r="199" spans="4:13">
      <c r="D199" t="s">
        <v>1469</v>
      </c>
      <c r="E199">
        <v>-86.4</v>
      </c>
      <c r="F199">
        <v>0.55934452780755028</v>
      </c>
      <c r="K199" t="s">
        <v>2693</v>
      </c>
      <c r="L199" s="51">
        <v>42.98465763004198</v>
      </c>
      <c r="M199">
        <v>1.5314999999999999</v>
      </c>
    </row>
    <row r="200" spans="4:13">
      <c r="D200" t="s">
        <v>1470</v>
      </c>
      <c r="E200">
        <v>-86.4</v>
      </c>
      <c r="F200">
        <v>0.59839133023698943</v>
      </c>
      <c r="K200" t="s">
        <v>2694</v>
      </c>
      <c r="L200" s="51">
        <v>42.889838620508471</v>
      </c>
      <c r="M200">
        <v>1.4193</v>
      </c>
    </row>
    <row r="201" spans="4:13">
      <c r="K201" t="s">
        <v>2695</v>
      </c>
      <c r="L201" s="51">
        <v>42.795019610974975</v>
      </c>
      <c r="M201">
        <v>1.2714874999999999</v>
      </c>
    </row>
    <row r="202" spans="4:13">
      <c r="K202" t="s">
        <v>2696</v>
      </c>
      <c r="L202" s="51">
        <v>42.700200601441466</v>
      </c>
      <c r="M202">
        <v>1.1465000000000001</v>
      </c>
    </row>
    <row r="203" spans="4:13">
      <c r="K203" t="s">
        <v>2697</v>
      </c>
      <c r="L203" s="51">
        <v>42.605381591907971</v>
      </c>
      <c r="M203">
        <v>1.5158625000000001</v>
      </c>
    </row>
    <row r="204" spans="4:13">
      <c r="K204" t="s">
        <v>2698</v>
      </c>
      <c r="L204" s="51">
        <v>42.510562582374462</v>
      </c>
      <c r="M204">
        <v>1.4625000000000001</v>
      </c>
    </row>
    <row r="205" spans="4:13">
      <c r="K205" t="s">
        <v>2699</v>
      </c>
      <c r="L205" s="51">
        <v>42.415743572840967</v>
      </c>
      <c r="M205">
        <v>1.2332999999999998</v>
      </c>
    </row>
    <row r="206" spans="4:13">
      <c r="K206" t="s">
        <v>2700</v>
      </c>
      <c r="L206" s="51">
        <v>42.320924563307464</v>
      </c>
      <c r="M206">
        <v>1.2332999999999998</v>
      </c>
    </row>
    <row r="207" spans="4:13">
      <c r="K207" t="s">
        <v>2701</v>
      </c>
      <c r="L207" s="51">
        <v>42.226105553773962</v>
      </c>
      <c r="M207">
        <v>1.3679000000000001</v>
      </c>
    </row>
    <row r="208" spans="4:13">
      <c r="K208" t="s">
        <v>2702</v>
      </c>
      <c r="L208" s="51">
        <v>42.13128654424046</v>
      </c>
      <c r="M208">
        <v>1.3679000000000001</v>
      </c>
    </row>
    <row r="209" spans="11:13">
      <c r="K209" t="s">
        <v>2703</v>
      </c>
      <c r="L209" s="51">
        <v>42.036467534706958</v>
      </c>
      <c r="M209">
        <v>1.2332999999999998</v>
      </c>
    </row>
    <row r="210" spans="11:13">
      <c r="K210" t="s">
        <v>2704</v>
      </c>
      <c r="L210" s="51">
        <v>41.941648525173456</v>
      </c>
      <c r="M210">
        <v>1.3679000000000001</v>
      </c>
    </row>
    <row r="211" spans="11:13">
      <c r="K211" t="s">
        <v>2705</v>
      </c>
      <c r="L211" s="51">
        <v>41.846829515639953</v>
      </c>
      <c r="M211">
        <v>1.4193</v>
      </c>
    </row>
    <row r="212" spans="11:13">
      <c r="K212" t="s">
        <v>2706</v>
      </c>
      <c r="L212" s="51">
        <v>41.752010506106451</v>
      </c>
      <c r="M212">
        <v>1.4193</v>
      </c>
    </row>
    <row r="213" spans="11:13">
      <c r="K213" t="s">
        <v>2707</v>
      </c>
      <c r="L213" s="51">
        <v>41.657191496572949</v>
      </c>
      <c r="M213">
        <v>1.4815875000000003</v>
      </c>
    </row>
    <row r="214" spans="11:13">
      <c r="K214" t="s">
        <v>2708</v>
      </c>
      <c r="L214" s="51">
        <v>41.372734467972442</v>
      </c>
      <c r="M214">
        <v>1.4815875000000003</v>
      </c>
    </row>
    <row r="215" spans="11:13">
      <c r="K215" t="s">
        <v>2709</v>
      </c>
      <c r="L215" s="51">
        <v>41.27791545843894</v>
      </c>
      <c r="M215">
        <v>1.2714874999999999</v>
      </c>
    </row>
    <row r="216" spans="11:13">
      <c r="K216" t="s">
        <v>2710</v>
      </c>
      <c r="L216" s="51">
        <v>41.183096448905438</v>
      </c>
      <c r="M216">
        <v>1.3385625000000001</v>
      </c>
    </row>
    <row r="217" spans="11:13">
      <c r="K217" t="s">
        <v>2711</v>
      </c>
      <c r="L217" s="51">
        <v>41.088277439371936</v>
      </c>
      <c r="M217">
        <v>1.3947375</v>
      </c>
    </row>
    <row r="218" spans="11:13">
      <c r="K218" t="s">
        <v>2712</v>
      </c>
      <c r="L218" s="51">
        <v>40.993458429838434</v>
      </c>
      <c r="M218">
        <v>1.5158625000000001</v>
      </c>
    </row>
    <row r="219" spans="11:13">
      <c r="K219" t="s">
        <v>2713</v>
      </c>
      <c r="L219" s="51">
        <v>40.898639420304931</v>
      </c>
      <c r="M219">
        <v>1.2332999999999998</v>
      </c>
    </row>
    <row r="220" spans="11:13">
      <c r="K220" t="s">
        <v>2714</v>
      </c>
      <c r="L220" s="51">
        <v>40.803820410771429</v>
      </c>
      <c r="M220">
        <v>1.3947375</v>
      </c>
    </row>
    <row r="221" spans="11:13">
      <c r="K221" t="s">
        <v>2715</v>
      </c>
      <c r="L221" s="51">
        <v>40.709001401237927</v>
      </c>
      <c r="M221">
        <v>1.2714874999999999</v>
      </c>
    </row>
    <row r="222" spans="11:13">
      <c r="K222" t="s">
        <v>2716</v>
      </c>
      <c r="L222" s="51">
        <v>40.614182391704425</v>
      </c>
      <c r="M222">
        <v>1.3065</v>
      </c>
    </row>
    <row r="223" spans="11:13">
      <c r="K223" t="s">
        <v>2717</v>
      </c>
      <c r="L223" s="51">
        <v>40.519363382170923</v>
      </c>
      <c r="M223">
        <v>1.4625000000000001</v>
      </c>
    </row>
    <row r="224" spans="11:13">
      <c r="K224" t="s">
        <v>2718</v>
      </c>
      <c r="L224" s="51">
        <v>40.424544372637421</v>
      </c>
      <c r="M224">
        <v>1.4992999999999999</v>
      </c>
    </row>
    <row r="225" spans="11:13">
      <c r="K225" t="s">
        <v>2719</v>
      </c>
      <c r="L225" s="51">
        <v>40.329725363103918</v>
      </c>
      <c r="M225">
        <v>1.1465000000000001</v>
      </c>
    </row>
    <row r="226" spans="11:13">
      <c r="K226" t="s">
        <v>2720</v>
      </c>
      <c r="L226" s="51">
        <v>40.234906353570416</v>
      </c>
      <c r="M226">
        <v>1.1917125</v>
      </c>
    </row>
    <row r="227" spans="11:13">
      <c r="K227" t="s">
        <v>2721</v>
      </c>
      <c r="L227" s="51">
        <v>40.140087344036914</v>
      </c>
      <c r="M227">
        <v>1.3947375</v>
      </c>
    </row>
    <row r="228" spans="11:13">
      <c r="K228" t="s">
        <v>2722</v>
      </c>
      <c r="L228" s="51">
        <v>40.045268334503412</v>
      </c>
      <c r="M228">
        <v>1.5314999999999999</v>
      </c>
    </row>
    <row r="229" spans="11:13">
      <c r="K229" t="s">
        <v>2723</v>
      </c>
      <c r="L229" s="51">
        <v>39.95044932496991</v>
      </c>
      <c r="M229">
        <v>1.3679000000000001</v>
      </c>
    </row>
    <row r="230" spans="11:13">
      <c r="K230" t="s">
        <v>2724</v>
      </c>
      <c r="L230" s="51">
        <v>39.855630315436407</v>
      </c>
      <c r="M230">
        <v>1.4992999999999999</v>
      </c>
    </row>
    <row r="231" spans="11:13">
      <c r="K231" t="s">
        <v>2725</v>
      </c>
      <c r="L231" s="51">
        <v>39.760811305902905</v>
      </c>
      <c r="M231">
        <v>1.4992999999999999</v>
      </c>
    </row>
    <row r="232" spans="11:13">
      <c r="K232" t="s">
        <v>2726</v>
      </c>
      <c r="L232" s="51">
        <v>39.665992296369403</v>
      </c>
      <c r="M232">
        <v>1.3947375</v>
      </c>
    </row>
    <row r="233" spans="11:13">
      <c r="K233" t="s">
        <v>2727</v>
      </c>
      <c r="L233" s="51">
        <v>39.571173286835901</v>
      </c>
      <c r="M233">
        <v>1.3065</v>
      </c>
    </row>
    <row r="234" spans="11:13">
      <c r="K234" t="s">
        <v>2728</v>
      </c>
      <c r="L234" s="51">
        <v>39.476354277302399</v>
      </c>
      <c r="M234">
        <v>1.0974375000000001</v>
      </c>
    </row>
    <row r="235" spans="11:13">
      <c r="K235" t="s">
        <v>2729</v>
      </c>
      <c r="L235" s="51">
        <v>39.381535267768896</v>
      </c>
      <c r="M235">
        <v>1.4418124999999999</v>
      </c>
    </row>
    <row r="236" spans="11:13">
      <c r="K236" t="s">
        <v>2730</v>
      </c>
      <c r="L236" s="51">
        <v>39.286716258235394</v>
      </c>
      <c r="M236">
        <v>1.3947375</v>
      </c>
    </row>
    <row r="237" spans="11:13">
      <c r="K237" t="s">
        <v>2731</v>
      </c>
      <c r="L237" s="51">
        <v>39.191897248701892</v>
      </c>
      <c r="M237">
        <v>1.2714874999999999</v>
      </c>
    </row>
    <row r="238" spans="11:13">
      <c r="K238" t="s">
        <v>2732</v>
      </c>
      <c r="L238" s="51">
        <v>39.09707823916839</v>
      </c>
      <c r="M238">
        <v>1.3065</v>
      </c>
    </row>
    <row r="239" spans="11:13">
      <c r="K239" t="s">
        <v>2733</v>
      </c>
      <c r="L239" s="51">
        <v>39.002259229634888</v>
      </c>
      <c r="M239">
        <v>1.1917125</v>
      </c>
    </row>
    <row r="240" spans="11:13">
      <c r="K240" t="s">
        <v>2734</v>
      </c>
      <c r="L240" s="51">
        <v>38.907440220101385</v>
      </c>
      <c r="M240">
        <v>1.3385625000000001</v>
      </c>
    </row>
    <row r="241" spans="11:13">
      <c r="K241" t="s">
        <v>2735</v>
      </c>
      <c r="L241" s="51">
        <v>38.812621210567883</v>
      </c>
      <c r="M241">
        <v>1.2714874999999999</v>
      </c>
    </row>
    <row r="242" spans="11:13">
      <c r="K242" t="s">
        <v>2736</v>
      </c>
      <c r="L242" s="51">
        <v>38.717802201034381</v>
      </c>
      <c r="M242">
        <v>0.85818749999999999</v>
      </c>
    </row>
    <row r="243" spans="11:13">
      <c r="K243" t="s">
        <v>2737</v>
      </c>
      <c r="L243" s="51">
        <v>37.537398396722168</v>
      </c>
      <c r="M243">
        <v>1.5464374999999999</v>
      </c>
    </row>
    <row r="244" spans="11:13">
      <c r="K244" t="s">
        <v>2738</v>
      </c>
      <c r="L244" s="51">
        <v>37.353828978809879</v>
      </c>
      <c r="M244">
        <v>1.5892999999999999</v>
      </c>
    </row>
    <row r="245" spans="11:13">
      <c r="K245" t="s">
        <v>2739</v>
      </c>
      <c r="L245" s="51">
        <v>37.170259560897591</v>
      </c>
      <c r="M245">
        <v>1.5464374999999999</v>
      </c>
    </row>
    <row r="246" spans="11:13">
      <c r="K246" t="s">
        <v>2740</v>
      </c>
      <c r="L246" s="51">
        <v>36.986690142985303</v>
      </c>
      <c r="M246">
        <v>1.5314999999999999</v>
      </c>
    </row>
    <row r="247" spans="11:13">
      <c r="K247" t="s">
        <v>2741</v>
      </c>
      <c r="L247" s="51">
        <v>36.803120725073015</v>
      </c>
      <c r="M247">
        <v>1.6036874999999997</v>
      </c>
    </row>
    <row r="248" spans="11:13">
      <c r="K248" t="s">
        <v>2742</v>
      </c>
      <c r="L248" s="51">
        <v>36.619551307160727</v>
      </c>
      <c r="M248">
        <v>1.4625000000000001</v>
      </c>
    </row>
    <row r="249" spans="11:13">
      <c r="K249" t="s">
        <v>2743</v>
      </c>
      <c r="L249" s="51">
        <v>36.435981889248438</v>
      </c>
      <c r="M249">
        <v>1.4418124999999999</v>
      </c>
    </row>
    <row r="250" spans="11:13">
      <c r="K250" t="s">
        <v>2744</v>
      </c>
      <c r="L250" s="51">
        <v>36.25241247133615</v>
      </c>
      <c r="M250">
        <v>1.4625000000000001</v>
      </c>
    </row>
    <row r="251" spans="11:13">
      <c r="K251" t="s">
        <v>2745</v>
      </c>
      <c r="L251" s="51">
        <v>36.068843053423862</v>
      </c>
      <c r="M251">
        <v>1.4992999999999999</v>
      </c>
    </row>
    <row r="252" spans="11:13">
      <c r="K252" t="s">
        <v>2746</v>
      </c>
      <c r="L252" s="51">
        <v>35.885273635511574</v>
      </c>
      <c r="M252">
        <v>1.4418124999999999</v>
      </c>
    </row>
    <row r="253" spans="11:13">
      <c r="K253" t="s">
        <v>2747</v>
      </c>
      <c r="L253" s="51">
        <v>35.701704217599286</v>
      </c>
      <c r="M253">
        <v>1.5158625000000001</v>
      </c>
    </row>
    <row r="254" spans="11:13">
      <c r="K254" t="s">
        <v>2748</v>
      </c>
      <c r="L254" s="51">
        <v>35.518134799686997</v>
      </c>
      <c r="M254">
        <v>1.5892999999999999</v>
      </c>
    </row>
    <row r="255" spans="11:13">
      <c r="K255" t="s">
        <v>2749</v>
      </c>
      <c r="L255" s="51">
        <v>35.334565381774709</v>
      </c>
      <c r="M255">
        <v>1.4815875000000003</v>
      </c>
    </row>
    <row r="256" spans="11:13">
      <c r="K256" t="s">
        <v>2750</v>
      </c>
      <c r="L256" s="51">
        <v>35.150995963862421</v>
      </c>
      <c r="M256">
        <v>1.3065</v>
      </c>
    </row>
    <row r="257" spans="11:13">
      <c r="K257" t="s">
        <v>2751</v>
      </c>
      <c r="L257" s="51">
        <v>34.967426545950133</v>
      </c>
      <c r="M257">
        <v>1.4992999999999999</v>
      </c>
    </row>
    <row r="258" spans="11:13">
      <c r="K258" t="s">
        <v>2752</v>
      </c>
      <c r="L258" s="51">
        <v>34.783857128037845</v>
      </c>
      <c r="M258">
        <v>1.6339625</v>
      </c>
    </row>
    <row r="259" spans="11:13">
      <c r="K259" t="s">
        <v>2753</v>
      </c>
      <c r="L259" s="51">
        <v>34.600287710125556</v>
      </c>
      <c r="M259">
        <v>1.4992999999999999</v>
      </c>
    </row>
    <row r="260" spans="11:13">
      <c r="K260" t="s">
        <v>2754</v>
      </c>
      <c r="L260" s="51">
        <v>34.416718292213268</v>
      </c>
      <c r="M260">
        <v>1.6865000000000001</v>
      </c>
    </row>
    <row r="261" spans="11:13">
      <c r="K261" t="s">
        <v>2755</v>
      </c>
      <c r="L261" s="51">
        <v>34.23314887430098</v>
      </c>
      <c r="M261">
        <v>1.4815875000000003</v>
      </c>
    </row>
    <row r="262" spans="11:13">
      <c r="K262" t="s">
        <v>2756</v>
      </c>
      <c r="L262" s="51">
        <v>34.049579456388692</v>
      </c>
      <c r="M262">
        <v>1.5609</v>
      </c>
    </row>
    <row r="263" spans="11:13">
      <c r="K263" t="s">
        <v>2757</v>
      </c>
      <c r="L263" s="51">
        <v>33.866010038476404</v>
      </c>
      <c r="M263">
        <v>1.4992999999999999</v>
      </c>
    </row>
    <row r="264" spans="11:13">
      <c r="K264" t="s">
        <v>2758</v>
      </c>
      <c r="L264" s="51">
        <v>31.127473212472069</v>
      </c>
      <c r="M264">
        <v>1.6007832</v>
      </c>
    </row>
    <row r="265" spans="11:13">
      <c r="K265" t="s">
        <v>2759</v>
      </c>
      <c r="L265" s="51">
        <v>31.127473212472069</v>
      </c>
      <c r="M265">
        <v>1.6036874999999997</v>
      </c>
    </row>
    <row r="266" spans="11:13">
      <c r="K266" t="s">
        <v>2760</v>
      </c>
      <c r="L266" s="51">
        <v>31.127473212472069</v>
      </c>
      <c r="M266">
        <v>1.3228859374999999</v>
      </c>
    </row>
    <row r="267" spans="11:13">
      <c r="K267" t="s">
        <v>2761</v>
      </c>
      <c r="L267" s="51">
        <v>27.305395075894793</v>
      </c>
      <c r="M267">
        <v>1.5609</v>
      </c>
    </row>
    <row r="268" spans="11:13">
      <c r="K268" t="s">
        <v>2762</v>
      </c>
      <c r="L268" s="51">
        <v>27.140665229455962</v>
      </c>
      <c r="M268">
        <v>1.5314999999999999</v>
      </c>
    </row>
    <row r="269" spans="11:13">
      <c r="K269" t="s">
        <v>2763</v>
      </c>
      <c r="L269" s="51">
        <v>26.975935383017131</v>
      </c>
      <c r="M269">
        <v>1.5158625000000001</v>
      </c>
    </row>
    <row r="270" spans="11:13">
      <c r="K270" t="s">
        <v>2764</v>
      </c>
      <c r="L270" s="51">
        <v>26.893570459797715</v>
      </c>
      <c r="M270">
        <v>1.5609</v>
      </c>
    </row>
    <row r="271" spans="11:13">
      <c r="K271" t="s">
        <v>2765</v>
      </c>
      <c r="L271" s="51">
        <v>26.481745843700629</v>
      </c>
      <c r="M271">
        <v>1.6184999999999994</v>
      </c>
    </row>
    <row r="272" spans="11:13">
      <c r="K272" t="s">
        <v>2766</v>
      </c>
      <c r="L272" s="51">
        <v>26.317015997261798</v>
      </c>
      <c r="M272">
        <v>1.5892999999999999</v>
      </c>
    </row>
    <row r="273" spans="11:13">
      <c r="K273" t="s">
        <v>2767</v>
      </c>
      <c r="L273" s="51">
        <v>26.152286150822967</v>
      </c>
      <c r="M273">
        <v>1.6184999999999994</v>
      </c>
    </row>
    <row r="274" spans="11:13">
      <c r="K274" t="s">
        <v>2768</v>
      </c>
      <c r="L274" s="51">
        <v>26.069921227603551</v>
      </c>
      <c r="M274">
        <v>1.6184999999999994</v>
      </c>
    </row>
    <row r="275" spans="11:13">
      <c r="K275" t="s">
        <v>2769</v>
      </c>
      <c r="L275" s="51">
        <v>25.658096611506465</v>
      </c>
      <c r="M275">
        <v>1.4992999999999999</v>
      </c>
    </row>
    <row r="276" spans="11:13">
      <c r="K276" t="s">
        <v>2770</v>
      </c>
      <c r="L276" s="51">
        <v>25.57573168828705</v>
      </c>
      <c r="M276">
        <v>1.5609</v>
      </c>
    </row>
    <row r="277" spans="11:13">
      <c r="K277" t="s">
        <v>2771</v>
      </c>
      <c r="L277" s="51">
        <v>25.534549226677342</v>
      </c>
      <c r="M277">
        <v>1.4992999999999999</v>
      </c>
    </row>
    <row r="278" spans="11:13">
      <c r="K278" t="s">
        <v>2772</v>
      </c>
      <c r="L278" s="51">
        <v>25.452184303457926</v>
      </c>
      <c r="M278">
        <v>1.4193</v>
      </c>
    </row>
    <row r="279" spans="11:13">
      <c r="K279" t="s">
        <v>2773</v>
      </c>
      <c r="L279" s="51">
        <v>24.834447379312302</v>
      </c>
      <c r="M279">
        <v>1.7792999999999997</v>
      </c>
    </row>
    <row r="280" spans="11:13">
      <c r="K280" t="s">
        <v>2774</v>
      </c>
      <c r="L280" s="51">
        <v>24.752082456092886</v>
      </c>
      <c r="M280">
        <v>1.6184999999999994</v>
      </c>
    </row>
    <row r="281" spans="11:13">
      <c r="K281" t="s">
        <v>2775</v>
      </c>
      <c r="L281" s="51">
        <v>24.66971753287347</v>
      </c>
      <c r="M281">
        <v>1.6184999999999994</v>
      </c>
    </row>
    <row r="282" spans="11:13">
      <c r="K282" t="s">
        <v>2776</v>
      </c>
      <c r="L282" s="51">
        <v>24.587352609654054</v>
      </c>
      <c r="M282">
        <v>1.7792999999999997</v>
      </c>
    </row>
    <row r="283" spans="11:13">
      <c r="K283" t="s">
        <v>2777</v>
      </c>
      <c r="L283" s="51">
        <v>24.504987686434639</v>
      </c>
      <c r="M283">
        <v>1.8394999999999997</v>
      </c>
    </row>
    <row r="284" spans="11:13">
      <c r="K284" t="s">
        <v>2778</v>
      </c>
      <c r="L284" s="51">
        <v>23.114354414689835</v>
      </c>
      <c r="M284">
        <v>1.6503000000000003</v>
      </c>
    </row>
    <row r="285" spans="11:13">
      <c r="K285" t="s">
        <v>2779</v>
      </c>
      <c r="L285" s="51">
        <v>23.044822751102593</v>
      </c>
      <c r="M285">
        <v>1.6503000000000003</v>
      </c>
    </row>
    <row r="286" spans="11:13">
      <c r="K286" t="s">
        <v>2780</v>
      </c>
      <c r="L286" s="51">
        <v>22.975291087515352</v>
      </c>
      <c r="M286">
        <v>1.6184999999999994</v>
      </c>
    </row>
    <row r="287" spans="11:13">
      <c r="K287" t="s">
        <v>2781</v>
      </c>
      <c r="L287" s="51">
        <v>22.90575942392811</v>
      </c>
      <c r="M287">
        <v>1.5892999999999999</v>
      </c>
    </row>
    <row r="288" spans="11:13">
      <c r="K288" t="s">
        <v>2782</v>
      </c>
      <c r="L288" s="51">
        <v>22.836227760340869</v>
      </c>
      <c r="M288">
        <v>1.5609</v>
      </c>
    </row>
    <row r="289" spans="11:13">
      <c r="K289" t="s">
        <v>2783</v>
      </c>
      <c r="L289" s="51">
        <v>22.419037778817426</v>
      </c>
      <c r="M289">
        <v>1.4992999999999999</v>
      </c>
    </row>
    <row r="290" spans="11:13">
      <c r="K290" t="s">
        <v>2784</v>
      </c>
      <c r="L290" s="51">
        <v>22.279974451642943</v>
      </c>
      <c r="M290">
        <v>1.2332999999999998</v>
      </c>
    </row>
    <row r="291" spans="11:13">
      <c r="K291" t="s">
        <v>2785</v>
      </c>
      <c r="L291" s="51">
        <v>22.14091112446846</v>
      </c>
      <c r="M291">
        <v>1.3679000000000001</v>
      </c>
    </row>
    <row r="292" spans="11:13">
      <c r="K292" t="s">
        <v>2786</v>
      </c>
      <c r="L292" s="51">
        <v>22.071379460881218</v>
      </c>
      <c r="M292">
        <v>1.2332999999999998</v>
      </c>
    </row>
    <row r="293" spans="11:13">
      <c r="K293" t="s">
        <v>2787</v>
      </c>
      <c r="L293" s="51">
        <v>21.376062825008816</v>
      </c>
      <c r="M293">
        <v>1.6503000000000003</v>
      </c>
    </row>
    <row r="294" spans="11:13">
      <c r="K294" t="s">
        <v>2788</v>
      </c>
      <c r="L294" s="51">
        <v>21.236999497834333</v>
      </c>
      <c r="M294">
        <v>1.5609</v>
      </c>
    </row>
    <row r="295" spans="11:13">
      <c r="K295" t="s">
        <v>2789</v>
      </c>
      <c r="L295" s="51">
        <v>21.09793617065985</v>
      </c>
      <c r="M295">
        <v>1.4992999999999999</v>
      </c>
    </row>
    <row r="296" spans="11:13">
      <c r="K296" t="s">
        <v>2790</v>
      </c>
      <c r="L296" s="51">
        <v>20.031937157770159</v>
      </c>
      <c r="M296">
        <v>1.4992999999999999</v>
      </c>
    </row>
    <row r="297" spans="11:13">
      <c r="K297" t="s">
        <v>2791</v>
      </c>
      <c r="L297" s="51">
        <v>19.940152448814018</v>
      </c>
      <c r="M297">
        <v>1.3679000000000001</v>
      </c>
    </row>
    <row r="298" spans="11:13">
      <c r="K298" t="s">
        <v>2792</v>
      </c>
      <c r="L298" s="51">
        <v>19.848367739857878</v>
      </c>
      <c r="M298">
        <v>1.3679000000000001</v>
      </c>
    </row>
    <row r="299" spans="11:13">
      <c r="K299" t="s">
        <v>2793</v>
      </c>
      <c r="L299" s="51">
        <v>19.756583030901737</v>
      </c>
      <c r="M299">
        <v>1.4193</v>
      </c>
    </row>
    <row r="300" spans="11:13">
      <c r="K300" t="s">
        <v>2794</v>
      </c>
      <c r="L300" s="51">
        <v>19.664798321945597</v>
      </c>
      <c r="M300">
        <v>1.1465000000000001</v>
      </c>
    </row>
    <row r="301" spans="11:13">
      <c r="K301" t="s">
        <v>2795</v>
      </c>
      <c r="L301" s="51">
        <v>19.573013612989456</v>
      </c>
      <c r="M301">
        <v>1.2332999999999998</v>
      </c>
    </row>
    <row r="302" spans="11:13">
      <c r="K302" t="s">
        <v>2796</v>
      </c>
      <c r="L302" s="51">
        <v>18.089884551577711</v>
      </c>
      <c r="M302">
        <v>1.5892999999999999</v>
      </c>
    </row>
    <row r="303" spans="11:13">
      <c r="K303" t="s">
        <v>2797</v>
      </c>
      <c r="L303" s="51">
        <v>17.996306363824857</v>
      </c>
      <c r="M303">
        <v>1.5751124999999999</v>
      </c>
    </row>
    <row r="304" spans="11:13">
      <c r="K304" t="s">
        <v>2798</v>
      </c>
      <c r="L304" s="51">
        <v>17.902728176072003</v>
      </c>
      <c r="M304">
        <v>1.5751124999999999</v>
      </c>
    </row>
    <row r="305" spans="11:13">
      <c r="K305" t="s">
        <v>2799</v>
      </c>
      <c r="L305" s="51">
        <v>17.809149988319149</v>
      </c>
      <c r="M305">
        <v>1.6036874999999997</v>
      </c>
    </row>
    <row r="306" spans="11:13">
      <c r="K306" t="s">
        <v>2800</v>
      </c>
      <c r="L306" s="51">
        <v>17.715571800566295</v>
      </c>
      <c r="M306">
        <v>1.5609</v>
      </c>
    </row>
    <row r="307" spans="11:13">
      <c r="K307" t="s">
        <v>2801</v>
      </c>
      <c r="L307" s="51">
        <v>17.621993612813441</v>
      </c>
      <c r="M307">
        <v>1.5314999999999999</v>
      </c>
    </row>
    <row r="308" spans="11:13">
      <c r="K308" t="s">
        <v>2802</v>
      </c>
      <c r="L308" s="51">
        <v>17.528415425060587</v>
      </c>
      <c r="M308">
        <v>1.4625000000000001</v>
      </c>
    </row>
    <row r="309" spans="11:13">
      <c r="K309" t="s">
        <v>2803</v>
      </c>
      <c r="L309" s="51">
        <v>17.434837237307732</v>
      </c>
      <c r="M309">
        <v>1.4193</v>
      </c>
    </row>
    <row r="310" spans="11:13">
      <c r="K310" t="s">
        <v>2804</v>
      </c>
      <c r="L310" s="51">
        <v>17.341259049554878</v>
      </c>
      <c r="M310">
        <v>1.2714874999999999</v>
      </c>
    </row>
    <row r="311" spans="11:13">
      <c r="K311" t="s">
        <v>2805</v>
      </c>
      <c r="L311" s="51">
        <v>17.247680861802024</v>
      </c>
      <c r="M311">
        <v>1.3065</v>
      </c>
    </row>
    <row r="312" spans="11:13">
      <c r="K312" t="s">
        <v>2806</v>
      </c>
      <c r="L312" s="51">
        <v>17.15410267404917</v>
      </c>
      <c r="M312">
        <v>1.2714874999999999</v>
      </c>
    </row>
    <row r="313" spans="11:13">
      <c r="K313" t="s">
        <v>2807</v>
      </c>
      <c r="L313" s="51">
        <v>17.060524486296316</v>
      </c>
      <c r="M313">
        <v>1.5158625000000001</v>
      </c>
    </row>
    <row r="314" spans="11:13">
      <c r="K314" t="s">
        <v>2808</v>
      </c>
      <c r="L314" s="51">
        <v>16.966946298543462</v>
      </c>
      <c r="M314">
        <v>1.3947375</v>
      </c>
    </row>
    <row r="315" spans="11:13">
      <c r="K315" t="s">
        <v>2809</v>
      </c>
      <c r="L315" s="51">
        <v>16.873368110790608</v>
      </c>
      <c r="M315">
        <v>1.3385625000000001</v>
      </c>
    </row>
    <row r="316" spans="11:13">
      <c r="K316" t="s">
        <v>2810</v>
      </c>
      <c r="L316" s="51">
        <v>16.779789923037754</v>
      </c>
      <c r="M316">
        <v>1.3065</v>
      </c>
    </row>
    <row r="317" spans="11:13">
      <c r="K317" t="s">
        <v>2811</v>
      </c>
      <c r="L317" s="51">
        <v>16.6862117352849</v>
      </c>
      <c r="M317">
        <v>1.5158625000000001</v>
      </c>
    </row>
    <row r="318" spans="11:13">
      <c r="K318" t="s">
        <v>2812</v>
      </c>
      <c r="L318" s="51">
        <v>16.592633547532046</v>
      </c>
      <c r="M318">
        <v>1.5751124999999999</v>
      </c>
    </row>
    <row r="319" spans="11:13">
      <c r="K319" t="s">
        <v>2813</v>
      </c>
      <c r="L319" s="51">
        <v>16.499055359779192</v>
      </c>
      <c r="M319">
        <v>1.5609</v>
      </c>
    </row>
    <row r="320" spans="11:13">
      <c r="K320" t="s">
        <v>2814</v>
      </c>
      <c r="L320" s="51">
        <v>16.218320796520622</v>
      </c>
      <c r="M320">
        <v>1.4193</v>
      </c>
    </row>
    <row r="321" spans="11:13">
      <c r="K321" t="s">
        <v>2815</v>
      </c>
      <c r="L321" s="51">
        <v>16.124742608767768</v>
      </c>
      <c r="M321">
        <v>1.4418124999999999</v>
      </c>
    </row>
    <row r="322" spans="11:13">
      <c r="K322" t="s">
        <v>2816</v>
      </c>
      <c r="L322" s="51">
        <v>16.031164421014914</v>
      </c>
      <c r="M322">
        <v>1.5314999999999999</v>
      </c>
    </row>
    <row r="323" spans="11:13">
      <c r="K323" t="s">
        <v>2817</v>
      </c>
      <c r="L323" s="51">
        <v>15.93758623326206</v>
      </c>
      <c r="M323">
        <v>1.3385625000000001</v>
      </c>
    </row>
    <row r="324" spans="11:13">
      <c r="K324" t="s">
        <v>2818</v>
      </c>
      <c r="L324" s="51">
        <v>15.844008045509206</v>
      </c>
      <c r="M324">
        <v>1.5464374999999999</v>
      </c>
    </row>
    <row r="325" spans="11:13">
      <c r="K325" t="s">
        <v>2819</v>
      </c>
      <c r="L325" s="51">
        <v>15.750429857756352</v>
      </c>
      <c r="M325">
        <v>1.4992999999999999</v>
      </c>
    </row>
    <row r="326" spans="11:13">
      <c r="K326" t="s">
        <v>2820</v>
      </c>
      <c r="L326" s="51">
        <v>15.656851670003498</v>
      </c>
      <c r="M326">
        <v>1.5158625000000001</v>
      </c>
    </row>
    <row r="327" spans="11:13">
      <c r="K327" t="s">
        <v>2821</v>
      </c>
      <c r="L327" s="51">
        <v>15.563273482250644</v>
      </c>
      <c r="M327">
        <v>1.5314999999999999</v>
      </c>
    </row>
    <row r="328" spans="11:13">
      <c r="K328" t="s">
        <v>2822</v>
      </c>
      <c r="L328" s="51">
        <v>15.469695294497789</v>
      </c>
      <c r="M328">
        <v>1.4418124999999999</v>
      </c>
    </row>
    <row r="329" spans="11:13">
      <c r="K329" t="s">
        <v>2823</v>
      </c>
      <c r="L329" s="51">
        <v>15.376117106744935</v>
      </c>
      <c r="M329">
        <v>1.4815875000000003</v>
      </c>
    </row>
    <row r="330" spans="11:13">
      <c r="K330" t="s">
        <v>2824</v>
      </c>
      <c r="L330" s="51">
        <v>15.282538918992081</v>
      </c>
      <c r="M330">
        <v>1.4418124999999999</v>
      </c>
    </row>
    <row r="331" spans="11:13">
      <c r="K331" t="s">
        <v>2825</v>
      </c>
      <c r="L331" s="51">
        <v>15.188960731239227</v>
      </c>
      <c r="M331">
        <v>1.4625000000000001</v>
      </c>
    </row>
    <row r="332" spans="11:13">
      <c r="K332" t="s">
        <v>2826</v>
      </c>
      <c r="L332" s="51">
        <v>15.095382543486373</v>
      </c>
      <c r="M332">
        <v>1.5464374999999999</v>
      </c>
    </row>
    <row r="333" spans="11:13">
      <c r="K333" t="s">
        <v>2827</v>
      </c>
      <c r="L333" s="51">
        <v>15.001804355733519</v>
      </c>
      <c r="M333">
        <v>1.5158625000000001</v>
      </c>
    </row>
    <row r="334" spans="11:13">
      <c r="K334" t="s">
        <v>2828</v>
      </c>
      <c r="L334" s="51">
        <v>14.908226167980665</v>
      </c>
      <c r="M334">
        <v>1.4992999999999999</v>
      </c>
    </row>
    <row r="335" spans="11:13">
      <c r="K335" t="s">
        <v>2829</v>
      </c>
      <c r="L335" s="51">
        <v>14.814647980227811</v>
      </c>
      <c r="M335">
        <v>1.5158625000000001</v>
      </c>
    </row>
    <row r="336" spans="11:13">
      <c r="K336" t="s">
        <v>2830</v>
      </c>
      <c r="L336" s="51">
        <v>14.721069792474957</v>
      </c>
      <c r="M336">
        <v>1.4193</v>
      </c>
    </row>
    <row r="337" spans="11:13">
      <c r="K337" t="s">
        <v>2831</v>
      </c>
      <c r="L337" s="51">
        <v>14.627491604722103</v>
      </c>
      <c r="M337">
        <v>1.3065</v>
      </c>
    </row>
    <row r="338" spans="11:13">
      <c r="K338" t="s">
        <v>2832</v>
      </c>
      <c r="L338" s="51">
        <v>14.533913416969249</v>
      </c>
      <c r="M338">
        <v>1.4418124999999999</v>
      </c>
    </row>
    <row r="339" spans="11:13">
      <c r="K339" t="s">
        <v>2833</v>
      </c>
      <c r="L339" s="51">
        <v>14.440335229216394</v>
      </c>
      <c r="M339">
        <v>1.3065</v>
      </c>
    </row>
    <row r="340" spans="11:13">
      <c r="K340" t="s">
        <v>2834</v>
      </c>
      <c r="L340" s="51">
        <v>14.34675704146354</v>
      </c>
      <c r="M340">
        <v>1.4625000000000001</v>
      </c>
    </row>
    <row r="341" spans="11:13">
      <c r="K341" t="s">
        <v>2835</v>
      </c>
      <c r="L341" s="51">
        <v>14.253178853710686</v>
      </c>
      <c r="M341">
        <v>1.1917125</v>
      </c>
    </row>
    <row r="342" spans="11:13">
      <c r="K342" t="s">
        <v>2836</v>
      </c>
      <c r="L342" s="51">
        <v>14.159600665957832</v>
      </c>
      <c r="M342">
        <v>1.3065</v>
      </c>
    </row>
    <row r="343" spans="11:13">
      <c r="K343" t="s">
        <v>2837</v>
      </c>
      <c r="L343" s="51">
        <v>14.066022478204978</v>
      </c>
      <c r="M343">
        <v>1.4992999999999999</v>
      </c>
    </row>
    <row r="344" spans="11:13">
      <c r="K344" t="s">
        <v>2838</v>
      </c>
      <c r="L344" s="51">
        <v>13.972444290452124</v>
      </c>
      <c r="M344">
        <v>1.5158625000000001</v>
      </c>
    </row>
    <row r="345" spans="11:13">
      <c r="K345" t="s">
        <v>2839</v>
      </c>
      <c r="L345" s="51">
        <v>13.87886610269927</v>
      </c>
      <c r="M345">
        <v>1.3947375</v>
      </c>
    </row>
    <row r="346" spans="11:13">
      <c r="K346" t="s">
        <v>2840</v>
      </c>
      <c r="L346" s="51">
        <v>13.785287914946416</v>
      </c>
      <c r="M346">
        <v>1.5158625000000001</v>
      </c>
    </row>
    <row r="347" spans="11:13">
      <c r="K347" t="s">
        <v>2841</v>
      </c>
      <c r="L347" s="51">
        <v>13.691709727193562</v>
      </c>
      <c r="M347">
        <v>1.3385625000000001</v>
      </c>
    </row>
    <row r="348" spans="11:13">
      <c r="K348" t="s">
        <v>2842</v>
      </c>
      <c r="L348" s="51">
        <v>13.598131539440708</v>
      </c>
      <c r="M348">
        <v>1.2714874999999999</v>
      </c>
    </row>
    <row r="349" spans="11:13">
      <c r="K349" t="s">
        <v>2843</v>
      </c>
      <c r="L349" s="51">
        <v>13.504553351687854</v>
      </c>
      <c r="M349">
        <v>1.2714874999999999</v>
      </c>
    </row>
    <row r="350" spans="11:13">
      <c r="K350" t="s">
        <v>2844</v>
      </c>
      <c r="L350" s="51">
        <v>13.410975163934999</v>
      </c>
      <c r="M350">
        <v>1.1465000000000001</v>
      </c>
    </row>
    <row r="351" spans="11:13">
      <c r="K351" t="s">
        <v>2845</v>
      </c>
      <c r="L351" s="51">
        <v>13.317396976182145</v>
      </c>
      <c r="M351">
        <v>1.5158625000000001</v>
      </c>
    </row>
    <row r="352" spans="11:13">
      <c r="K352" t="s">
        <v>2846</v>
      </c>
      <c r="L352" s="51">
        <v>13.223818788429291</v>
      </c>
      <c r="M352">
        <v>1.5314999999999999</v>
      </c>
    </row>
    <row r="353" spans="11:13">
      <c r="K353" t="s">
        <v>2847</v>
      </c>
      <c r="L353" s="51">
        <v>13.130240600676437</v>
      </c>
      <c r="M353">
        <v>1.5464374999999999</v>
      </c>
    </row>
    <row r="354" spans="11:13">
      <c r="K354" t="s">
        <v>2848</v>
      </c>
      <c r="L354" s="51">
        <v>12.755927849665014</v>
      </c>
      <c r="M354">
        <v>1.4625000000000001</v>
      </c>
    </row>
    <row r="355" spans="11:13">
      <c r="K355" t="s">
        <v>2849</v>
      </c>
      <c r="L355" s="51">
        <v>12.66234966191216</v>
      </c>
      <c r="M355">
        <v>1.3385625000000001</v>
      </c>
    </row>
    <row r="356" spans="11:13">
      <c r="K356" t="s">
        <v>2850</v>
      </c>
      <c r="L356" s="51">
        <v>12.568771474159306</v>
      </c>
      <c r="M356">
        <v>1.4193</v>
      </c>
    </row>
    <row r="357" spans="11:13">
      <c r="K357" t="s">
        <v>2851</v>
      </c>
      <c r="L357" s="51">
        <v>9.9466481013911761</v>
      </c>
      <c r="M357">
        <v>1.6503000000000003</v>
      </c>
    </row>
    <row r="358" spans="11:13">
      <c r="K358" t="s">
        <v>2852</v>
      </c>
      <c r="L358" s="51">
        <v>9.853069913638322</v>
      </c>
      <c r="M358">
        <v>1.3679000000000001</v>
      </c>
    </row>
    <row r="359" spans="11:13">
      <c r="K359" t="s">
        <v>2853</v>
      </c>
      <c r="L359" s="51">
        <v>9.7594917258854679</v>
      </c>
      <c r="M359">
        <v>1.3385625000000001</v>
      </c>
    </row>
    <row r="360" spans="11:13">
      <c r="K360" t="s">
        <v>2854</v>
      </c>
      <c r="L360" s="51">
        <v>9.6659135381326138</v>
      </c>
      <c r="M360">
        <v>1.4418124999999999</v>
      </c>
    </row>
    <row r="361" spans="11:13">
      <c r="K361" t="s">
        <v>2855</v>
      </c>
      <c r="L361" s="51">
        <v>9.5723353503797597</v>
      </c>
      <c r="M361">
        <v>1.2332999999999998</v>
      </c>
    </row>
    <row r="362" spans="11:13">
      <c r="K362" t="s">
        <v>2856</v>
      </c>
      <c r="L362" s="51">
        <v>9.4787571626269056</v>
      </c>
      <c r="M362">
        <v>1.3947375</v>
      </c>
    </row>
    <row r="363" spans="11:13">
      <c r="K363" t="s">
        <v>2857</v>
      </c>
      <c r="L363" s="51">
        <v>9.3851789748740515</v>
      </c>
      <c r="M363">
        <v>1.2332999999999998</v>
      </c>
    </row>
    <row r="364" spans="11:13">
      <c r="K364" t="s">
        <v>2858</v>
      </c>
      <c r="L364" s="51">
        <v>9.2916007871211974</v>
      </c>
      <c r="M364">
        <v>1.3385625000000001</v>
      </c>
    </row>
    <row r="365" spans="11:13">
      <c r="K365" t="s">
        <v>2859</v>
      </c>
      <c r="L365" s="51">
        <v>9.1980225993683433</v>
      </c>
      <c r="M365">
        <v>1.3065</v>
      </c>
    </row>
    <row r="366" spans="11:13">
      <c r="K366" t="s">
        <v>2860</v>
      </c>
      <c r="L366" s="51">
        <v>9.1044444116154892</v>
      </c>
      <c r="M366">
        <v>1.4625000000000001</v>
      </c>
    </row>
    <row r="367" spans="11:13">
      <c r="K367" t="s">
        <v>2861</v>
      </c>
      <c r="L367" s="51">
        <v>9.0108662238626351</v>
      </c>
      <c r="M367">
        <v>1.3947375</v>
      </c>
    </row>
    <row r="368" spans="11:13">
      <c r="K368" t="s">
        <v>2862</v>
      </c>
      <c r="L368" s="51">
        <v>8.917288036109781</v>
      </c>
      <c r="M368">
        <v>1.3065</v>
      </c>
    </row>
    <row r="369" spans="11:13">
      <c r="K369" t="s">
        <v>2863</v>
      </c>
      <c r="L369" s="51">
        <v>8.823709848356927</v>
      </c>
      <c r="M369">
        <v>1.3947375</v>
      </c>
    </row>
    <row r="370" spans="11:13">
      <c r="K370" t="s">
        <v>2864</v>
      </c>
      <c r="L370" s="51">
        <v>8.7301316606040729</v>
      </c>
      <c r="M370">
        <v>1.3679000000000001</v>
      </c>
    </row>
    <row r="371" spans="11:13">
      <c r="K371" t="s">
        <v>2865</v>
      </c>
      <c r="L371" s="51">
        <v>8.6365534728512188</v>
      </c>
      <c r="M371">
        <v>1.3679000000000001</v>
      </c>
    </row>
    <row r="372" spans="11:13">
      <c r="K372" t="s">
        <v>2866</v>
      </c>
      <c r="L372" s="51">
        <v>8.5429752850983647</v>
      </c>
      <c r="M372">
        <v>1.2714874999999999</v>
      </c>
    </row>
    <row r="373" spans="11:13">
      <c r="K373" t="s">
        <v>2867</v>
      </c>
      <c r="L373" s="51">
        <v>8.4493970973455106</v>
      </c>
      <c r="M373">
        <v>1.5314999999999999</v>
      </c>
    </row>
    <row r="374" spans="11:13">
      <c r="K374" t="s">
        <v>2868</v>
      </c>
      <c r="L374" s="51">
        <v>8.3558189095926565</v>
      </c>
      <c r="M374">
        <v>1.4625000000000001</v>
      </c>
    </row>
    <row r="375" spans="11:13">
      <c r="K375" t="s">
        <v>2869</v>
      </c>
      <c r="L375" s="51">
        <v>8.2622407218398024</v>
      </c>
      <c r="M375">
        <v>1.3385625000000001</v>
      </c>
    </row>
    <row r="376" spans="11:13">
      <c r="K376" t="s">
        <v>2870</v>
      </c>
      <c r="L376" s="51">
        <v>8.0750843463340942</v>
      </c>
      <c r="M376">
        <v>1.3947375</v>
      </c>
    </row>
    <row r="377" spans="11:13">
      <c r="K377" t="s">
        <v>2871</v>
      </c>
      <c r="L377" s="51">
        <v>7.9815061585812401</v>
      </c>
      <c r="M377">
        <v>1.4193</v>
      </c>
    </row>
    <row r="378" spans="11:13">
      <c r="K378" t="s">
        <v>2872</v>
      </c>
      <c r="L378" s="51">
        <v>7.887927970828386</v>
      </c>
      <c r="M378">
        <v>1.3947375</v>
      </c>
    </row>
    <row r="379" spans="11:13">
      <c r="K379" t="s">
        <v>2873</v>
      </c>
      <c r="L379" s="51">
        <v>7.7943497830755319</v>
      </c>
      <c r="M379">
        <v>1.4193</v>
      </c>
    </row>
    <row r="380" spans="11:13">
      <c r="K380" t="s">
        <v>2874</v>
      </c>
      <c r="L380" s="51">
        <v>7.7007715953226779</v>
      </c>
      <c r="M380">
        <v>1.4625000000000001</v>
      </c>
    </row>
    <row r="381" spans="11:13">
      <c r="K381" t="s">
        <v>2875</v>
      </c>
      <c r="L381" s="51">
        <v>1.7416512986051771</v>
      </c>
      <c r="M381">
        <v>1.6110265625</v>
      </c>
    </row>
    <row r="382" spans="11:13">
      <c r="K382" t="s">
        <v>2876</v>
      </c>
      <c r="L382" s="51">
        <v>0.19828201312438409</v>
      </c>
      <c r="M382">
        <v>1.4815875000000003</v>
      </c>
    </row>
    <row r="383" spans="11:13">
      <c r="K383" t="s">
        <v>2877</v>
      </c>
      <c r="L383" s="51">
        <v>0.10470382537153</v>
      </c>
      <c r="M383">
        <v>1.6184999999999994</v>
      </c>
    </row>
    <row r="384" spans="11:13">
      <c r="K384" t="s">
        <v>2878</v>
      </c>
      <c r="L384" s="51">
        <v>1.112563761867591E-2</v>
      </c>
      <c r="M384">
        <v>1.5314999999999999</v>
      </c>
    </row>
    <row r="385" spans="11:13">
      <c r="K385" t="s">
        <v>2879</v>
      </c>
      <c r="L385" s="51">
        <v>-8.2452550134178182E-2</v>
      </c>
      <c r="M385">
        <v>1.4193</v>
      </c>
    </row>
    <row r="386" spans="11:13">
      <c r="K386" t="s">
        <v>2880</v>
      </c>
      <c r="L386" s="51">
        <v>-0.17603073788703227</v>
      </c>
      <c r="M386">
        <v>1.4815875000000003</v>
      </c>
    </row>
    <row r="387" spans="11:13">
      <c r="K387" t="s">
        <v>2881</v>
      </c>
      <c r="L387" s="51">
        <v>-0.26960892563988637</v>
      </c>
      <c r="M387">
        <v>1.6503000000000003</v>
      </c>
    </row>
    <row r="388" spans="11:13">
      <c r="K388" t="s">
        <v>2882</v>
      </c>
      <c r="L388" s="51">
        <v>-0.36318711339274046</v>
      </c>
      <c r="M388">
        <v>1.6503000000000003</v>
      </c>
    </row>
    <row r="389" spans="11:13">
      <c r="K389" t="s">
        <v>2883</v>
      </c>
      <c r="L389" s="51">
        <v>-0.45676530114559455</v>
      </c>
      <c r="M389">
        <v>1.6339625</v>
      </c>
    </row>
    <row r="390" spans="11:13">
      <c r="K390" t="s">
        <v>2884</v>
      </c>
      <c r="L390" s="51">
        <v>-0.55034348889844864</v>
      </c>
      <c r="M390">
        <v>1.5609</v>
      </c>
    </row>
    <row r="391" spans="11:13">
      <c r="K391" t="s">
        <v>2885</v>
      </c>
      <c r="L391" s="51">
        <v>-0.64392167665130273</v>
      </c>
      <c r="M391">
        <v>1.6036874999999997</v>
      </c>
    </row>
    <row r="392" spans="11:13">
      <c r="K392" t="s">
        <v>2886</v>
      </c>
      <c r="L392" s="51">
        <v>-0.73749986440415682</v>
      </c>
      <c r="M392">
        <v>1.5892999999999999</v>
      </c>
    </row>
    <row r="393" spans="11:13">
      <c r="K393" t="s">
        <v>2887</v>
      </c>
      <c r="L393" s="51">
        <v>-0.83107805215701092</v>
      </c>
      <c r="M393">
        <v>1.5464374999999999</v>
      </c>
    </row>
    <row r="394" spans="11:13">
      <c r="K394" t="s">
        <v>2888</v>
      </c>
      <c r="L394" s="51">
        <v>-0.92465623990986501</v>
      </c>
      <c r="M394">
        <v>1.5751124999999999</v>
      </c>
    </row>
    <row r="395" spans="11:13">
      <c r="K395" t="s">
        <v>2889</v>
      </c>
      <c r="L395" s="51">
        <v>-1.0182344276627191</v>
      </c>
      <c r="M395">
        <v>1.5609</v>
      </c>
    </row>
    <row r="396" spans="11:13">
      <c r="K396" t="s">
        <v>2890</v>
      </c>
      <c r="L396" s="51">
        <v>-1.1118126154155732</v>
      </c>
      <c r="M396">
        <v>1.4193</v>
      </c>
    </row>
    <row r="397" spans="11:13">
      <c r="K397" t="s">
        <v>2891</v>
      </c>
      <c r="L397" s="51">
        <v>-1.2053908031684273</v>
      </c>
      <c r="M397">
        <v>1.3947375</v>
      </c>
    </row>
    <row r="398" spans="11:13">
      <c r="K398" t="s">
        <v>2892</v>
      </c>
      <c r="L398" s="51">
        <v>-6.0725285734311143</v>
      </c>
      <c r="M398">
        <v>1.4992999999999999</v>
      </c>
    </row>
    <row r="399" spans="11:13">
      <c r="K399" t="s">
        <v>2893</v>
      </c>
      <c r="L399" s="51">
        <v>-6.1738161601904693</v>
      </c>
      <c r="M399">
        <v>1.4625000000000001</v>
      </c>
    </row>
    <row r="400" spans="11:13">
      <c r="K400" t="s">
        <v>2894</v>
      </c>
      <c r="L400" s="51">
        <v>-6.2751037469498243</v>
      </c>
      <c r="M400">
        <v>1.4992999999999999</v>
      </c>
    </row>
    <row r="401" spans="11:15">
      <c r="K401" t="s">
        <v>2895</v>
      </c>
      <c r="L401" s="51">
        <v>-6.3763913337091793</v>
      </c>
      <c r="M401">
        <v>1.4625000000000001</v>
      </c>
    </row>
    <row r="402" spans="11:15">
      <c r="K402" t="s">
        <v>2896</v>
      </c>
      <c r="L402" s="51">
        <v>-6.4776789204685343</v>
      </c>
      <c r="M402">
        <v>1.3679000000000001</v>
      </c>
      <c r="O402" t="s">
        <v>2897</v>
      </c>
    </row>
    <row r="403" spans="11:15">
      <c r="K403" t="s">
        <v>2898</v>
      </c>
      <c r="L403" s="51">
        <v>-6.5789665072278893</v>
      </c>
      <c r="M403">
        <v>1.5314999999999999</v>
      </c>
    </row>
    <row r="404" spans="11:15">
      <c r="K404" t="s">
        <v>2899</v>
      </c>
      <c r="L404" s="51">
        <v>-6.6802540939872443</v>
      </c>
      <c r="M404">
        <v>1.4625000000000001</v>
      </c>
    </row>
    <row r="405" spans="11:15">
      <c r="K405" t="s">
        <v>2900</v>
      </c>
      <c r="L405" s="51">
        <v>-6.7815416807465994</v>
      </c>
      <c r="M405">
        <v>1.9965000000000002</v>
      </c>
    </row>
    <row r="406" spans="11:15">
      <c r="K406" t="s">
        <v>2901</v>
      </c>
      <c r="L406" s="51">
        <v>-8.0476365152384943</v>
      </c>
      <c r="M406">
        <v>1.6503000000000003</v>
      </c>
    </row>
    <row r="407" spans="11:15">
      <c r="K407" t="s">
        <v>2902</v>
      </c>
      <c r="L407" s="51">
        <v>-8.9165594512539599</v>
      </c>
      <c r="M407">
        <v>1.5964546875000003</v>
      </c>
    </row>
    <row r="408" spans="11:15">
      <c r="K408" t="s">
        <v>2903</v>
      </c>
      <c r="L408" s="51">
        <v>-10.689092219542616</v>
      </c>
      <c r="M408">
        <v>1.4072890624999999</v>
      </c>
    </row>
    <row r="409" spans="11:15">
      <c r="K409" t="s">
        <v>2904</v>
      </c>
      <c r="L409" s="51">
        <v>-17.010024029813579</v>
      </c>
      <c r="M409">
        <v>1.5609</v>
      </c>
    </row>
    <row r="410" spans="11:15">
      <c r="K410" t="s">
        <v>2905</v>
      </c>
      <c r="L410" s="51">
        <v>-17.100420909785583</v>
      </c>
      <c r="M410">
        <v>1.5314999999999999</v>
      </c>
    </row>
    <row r="411" spans="11:15">
      <c r="K411" t="s">
        <v>2906</v>
      </c>
      <c r="L411" s="51">
        <v>-17.190817789757588</v>
      </c>
      <c r="M411">
        <v>1.5892999999999999</v>
      </c>
    </row>
    <row r="412" spans="11:15">
      <c r="K412" t="s">
        <v>2907</v>
      </c>
      <c r="L412" s="51">
        <v>-17.281214669729593</v>
      </c>
      <c r="M412">
        <v>1.5892999999999999</v>
      </c>
    </row>
    <row r="413" spans="11:15">
      <c r="K413" t="s">
        <v>2908</v>
      </c>
      <c r="L413" s="51">
        <v>-17.371611549701598</v>
      </c>
      <c r="M413">
        <v>1.4625000000000001</v>
      </c>
    </row>
    <row r="414" spans="11:15">
      <c r="K414" t="s">
        <v>2909</v>
      </c>
      <c r="L414" s="51">
        <v>-17.462008429673602</v>
      </c>
      <c r="M414">
        <v>1.4992999999999999</v>
      </c>
    </row>
    <row r="415" spans="11:15">
      <c r="K415" t="s">
        <v>2910</v>
      </c>
      <c r="L415" s="51">
        <v>-22.09386328676824</v>
      </c>
      <c r="M415">
        <v>1.4625000000000001</v>
      </c>
    </row>
    <row r="416" spans="11:15">
      <c r="K416" t="s">
        <v>2911</v>
      </c>
      <c r="L416" s="51">
        <v>-22.305055244163071</v>
      </c>
      <c r="M416">
        <v>1.4992999999999999</v>
      </c>
    </row>
    <row r="417" spans="11:15">
      <c r="K417" t="s">
        <v>2912</v>
      </c>
      <c r="L417" s="51">
        <v>-22.516247201557903</v>
      </c>
      <c r="M417">
        <v>1.4992999999999999</v>
      </c>
    </row>
    <row r="418" spans="11:15">
      <c r="K418" t="s">
        <v>2913</v>
      </c>
      <c r="L418" s="51">
        <v>-22.727439158952734</v>
      </c>
      <c r="M418">
        <v>1.4625000000000001</v>
      </c>
    </row>
    <row r="419" spans="11:15">
      <c r="K419" t="s">
        <v>2914</v>
      </c>
      <c r="L419" s="51">
        <v>-26.990100842903345</v>
      </c>
      <c r="M419">
        <v>1.3679000000000001</v>
      </c>
    </row>
    <row r="420" spans="11:15">
      <c r="K420" t="s">
        <v>2915</v>
      </c>
      <c r="L420" s="51">
        <v>-27.095696821600768</v>
      </c>
      <c r="M420">
        <v>1.0443</v>
      </c>
    </row>
    <row r="421" spans="11:15">
      <c r="K421" t="s">
        <v>2916</v>
      </c>
      <c r="L421" s="51">
        <v>-27.201292800298191</v>
      </c>
      <c r="M421">
        <v>0.78650000000000009</v>
      </c>
    </row>
    <row r="422" spans="11:15">
      <c r="K422" t="s">
        <v>2917</v>
      </c>
      <c r="L422" s="51">
        <v>-27.306888778995614</v>
      </c>
      <c r="M422">
        <v>0.92489999999999994</v>
      </c>
    </row>
    <row r="423" spans="11:15">
      <c r="K423" t="s">
        <v>2918</v>
      </c>
      <c r="L423" s="51">
        <v>-27.412484757693036</v>
      </c>
      <c r="M423">
        <v>1.3679000000000001</v>
      </c>
    </row>
    <row r="424" spans="11:15">
      <c r="K424" t="s">
        <v>2919</v>
      </c>
      <c r="L424" s="51">
        <v>-27.518080736390459</v>
      </c>
      <c r="M424">
        <v>1.1465000000000001</v>
      </c>
    </row>
    <row r="425" spans="11:15">
      <c r="K425" t="s">
        <v>2920</v>
      </c>
      <c r="L425" s="51">
        <v>-31.51894041338484</v>
      </c>
      <c r="M425">
        <v>1.2332999999999998</v>
      </c>
    </row>
    <row r="426" spans="11:15">
      <c r="K426" t="s">
        <v>2921</v>
      </c>
      <c r="L426" s="51">
        <v>-31.678316282428554</v>
      </c>
      <c r="M426">
        <v>1.2332999999999998</v>
      </c>
    </row>
    <row r="427" spans="11:15">
      <c r="K427" t="s">
        <v>2922</v>
      </c>
      <c r="L427" s="51">
        <v>-31.837692151472268</v>
      </c>
      <c r="M427">
        <v>1.3679000000000001</v>
      </c>
    </row>
    <row r="428" spans="11:15">
      <c r="K428" t="s">
        <v>2923</v>
      </c>
      <c r="L428" s="51">
        <v>-31.997068020515982</v>
      </c>
      <c r="M428">
        <v>1.1465000000000001</v>
      </c>
    </row>
    <row r="429" spans="11:15">
      <c r="K429" t="s">
        <v>2924</v>
      </c>
      <c r="L429" s="51">
        <v>-33.287956044090265</v>
      </c>
      <c r="M429">
        <v>1.3065</v>
      </c>
    </row>
    <row r="430" spans="11:15">
      <c r="K430" t="s">
        <v>2925</v>
      </c>
      <c r="L430" s="51">
        <v>-33.447331913133979</v>
      </c>
      <c r="M430">
        <v>1.4815875000000003</v>
      </c>
    </row>
    <row r="431" spans="11:15">
      <c r="K431" t="s">
        <v>2926</v>
      </c>
      <c r="L431" s="51">
        <v>-33.606707782177693</v>
      </c>
      <c r="M431">
        <v>1.3679000000000001</v>
      </c>
    </row>
    <row r="432" spans="11:15">
      <c r="K432" t="s">
        <v>2927</v>
      </c>
      <c r="L432" s="51">
        <v>-33.766083651221408</v>
      </c>
      <c r="M432">
        <v>1.1917125</v>
      </c>
      <c r="O432" t="s">
        <v>2928</v>
      </c>
    </row>
    <row r="433" spans="11:15">
      <c r="K433" t="s">
        <v>2929</v>
      </c>
      <c r="L433" s="51">
        <v>-33.925459520265122</v>
      </c>
      <c r="M433">
        <v>1.3065</v>
      </c>
    </row>
    <row r="434" spans="11:15">
      <c r="K434" t="s">
        <v>2930</v>
      </c>
      <c r="L434" s="51">
        <v>-34.084835389308836</v>
      </c>
      <c r="M434">
        <v>0.92489999999999994</v>
      </c>
    </row>
    <row r="435" spans="11:15">
      <c r="K435" t="s">
        <v>2931</v>
      </c>
      <c r="L435" s="51">
        <v>-34.24421125835255</v>
      </c>
      <c r="M435">
        <v>0.98686249999999998</v>
      </c>
    </row>
    <row r="436" spans="11:15">
      <c r="K436" t="s">
        <v>2932</v>
      </c>
      <c r="L436" s="51">
        <v>-34.403587127396264</v>
      </c>
      <c r="M436">
        <v>1.0443</v>
      </c>
    </row>
    <row r="437" spans="11:15">
      <c r="K437" t="s">
        <v>2933</v>
      </c>
      <c r="L437" s="51">
        <v>-34.562962996439978</v>
      </c>
      <c r="M437">
        <v>1.3679000000000001</v>
      </c>
    </row>
    <row r="438" spans="11:15">
      <c r="K438" t="s">
        <v>2934</v>
      </c>
      <c r="L438" s="51">
        <v>-34.722338865483692</v>
      </c>
      <c r="M438">
        <v>1.0443</v>
      </c>
    </row>
    <row r="439" spans="11:15">
      <c r="K439" t="s">
        <v>2935</v>
      </c>
      <c r="L439" s="51">
        <v>-34.881714734527407</v>
      </c>
      <c r="M439">
        <v>0.98686249999999998</v>
      </c>
    </row>
    <row r="440" spans="11:15">
      <c r="K440" t="s">
        <v>2936</v>
      </c>
      <c r="L440" s="51">
        <v>-35.041090603571121</v>
      </c>
      <c r="M440">
        <v>1.1465000000000001</v>
      </c>
    </row>
    <row r="441" spans="11:15">
      <c r="K441" t="s">
        <v>2937</v>
      </c>
      <c r="L441" s="51">
        <v>-35.200466472614835</v>
      </c>
      <c r="M441">
        <v>1.2332999999999998</v>
      </c>
    </row>
    <row r="442" spans="11:15">
      <c r="K442" t="s">
        <v>2938</v>
      </c>
      <c r="L442" s="51">
        <v>-35.359842341658549</v>
      </c>
      <c r="M442">
        <v>0.98686249999999998</v>
      </c>
    </row>
    <row r="443" spans="11:15">
      <c r="K443" t="s">
        <v>2939</v>
      </c>
      <c r="L443" s="51">
        <v>-35.519218210702263</v>
      </c>
      <c r="M443">
        <v>1.0443</v>
      </c>
    </row>
    <row r="444" spans="11:15">
      <c r="K444" t="s">
        <v>2940</v>
      </c>
      <c r="L444" s="51">
        <v>-35.678594079745977</v>
      </c>
      <c r="M444">
        <v>1.5609</v>
      </c>
    </row>
    <row r="445" spans="11:15">
      <c r="K445" t="s">
        <v>2941</v>
      </c>
      <c r="L445" s="51">
        <v>-35.837969948789691</v>
      </c>
      <c r="M445">
        <v>0.98686249999999998</v>
      </c>
    </row>
    <row r="446" spans="11:15">
      <c r="K446" t="s">
        <v>2942</v>
      </c>
      <c r="L446" s="51">
        <v>-35.997345817833406</v>
      </c>
      <c r="M446">
        <v>0.78650000000000009</v>
      </c>
    </row>
    <row r="447" spans="11:15">
      <c r="K447" t="s">
        <v>2943</v>
      </c>
      <c r="L447" s="51">
        <v>-36.15672168687712</v>
      </c>
      <c r="M447">
        <v>1.0974375000000001</v>
      </c>
    </row>
    <row r="448" spans="11:15">
      <c r="K448" t="s">
        <v>2944</v>
      </c>
      <c r="L448" s="51">
        <v>-36.316097555920834</v>
      </c>
      <c r="M448">
        <v>0.98686249999999998</v>
      </c>
      <c r="O448" t="s">
        <v>2945</v>
      </c>
    </row>
    <row r="449" spans="11:13">
      <c r="K449" t="s">
        <v>2946</v>
      </c>
      <c r="L449" s="51">
        <v>-36.475473424964548</v>
      </c>
      <c r="M449">
        <v>0.98686249999999998</v>
      </c>
    </row>
    <row r="450" spans="11:13">
      <c r="K450" t="s">
        <v>2947</v>
      </c>
      <c r="L450" s="51">
        <v>-36.634849294008262</v>
      </c>
      <c r="M450">
        <v>1.0443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172"/>
  <sheetViews>
    <sheetView workbookViewId="0">
      <selection activeCell="P29" sqref="P29"/>
    </sheetView>
  </sheetViews>
  <sheetFormatPr defaultRowHeight="15"/>
  <cols>
    <col min="8" max="8" width="9.140625" style="51"/>
  </cols>
  <sheetData>
    <row r="1" spans="1:18" ht="18.75">
      <c r="A1" s="691" t="s">
        <v>2948</v>
      </c>
    </row>
    <row r="2" spans="1:18" ht="45">
      <c r="A2" s="152" t="s">
        <v>2949</v>
      </c>
      <c r="B2" s="152" t="s">
        <v>727</v>
      </c>
      <c r="C2" s="152" t="s">
        <v>2950</v>
      </c>
      <c r="D2" s="152" t="s">
        <v>2951</v>
      </c>
      <c r="E2" s="152" t="s">
        <v>2952</v>
      </c>
      <c r="F2" s="152" t="s">
        <v>2953</v>
      </c>
      <c r="G2" s="152" t="s">
        <v>2954</v>
      </c>
    </row>
    <row r="3" spans="1:18">
      <c r="A3" t="s">
        <v>1255</v>
      </c>
      <c r="B3">
        <v>236</v>
      </c>
      <c r="C3">
        <v>-27.306888778995614</v>
      </c>
      <c r="D3">
        <v>0.23983899772926298</v>
      </c>
      <c r="F3">
        <v>-29.2196228</v>
      </c>
      <c r="G3" t="s">
        <v>2955</v>
      </c>
    </row>
    <row r="4" spans="1:18" ht="18.75">
      <c r="A4" t="s">
        <v>1255</v>
      </c>
      <c r="B4">
        <v>235</v>
      </c>
      <c r="C4">
        <v>-27.095696821600768</v>
      </c>
      <c r="D4">
        <v>0.23940647090490821</v>
      </c>
      <c r="F4">
        <v>-28.9965382</v>
      </c>
      <c r="G4" t="s">
        <v>2955</v>
      </c>
      <c r="L4" s="691" t="s">
        <v>2956</v>
      </c>
    </row>
    <row r="5" spans="1:18">
      <c r="A5" t="s">
        <v>1255</v>
      </c>
      <c r="B5">
        <v>234</v>
      </c>
      <c r="C5">
        <v>-22.09386328676824</v>
      </c>
      <c r="D5">
        <v>0.2404434124079052</v>
      </c>
      <c r="F5">
        <v>-29.132124500000003</v>
      </c>
      <c r="G5" t="s">
        <v>2955</v>
      </c>
    </row>
    <row r="6" spans="1:18">
      <c r="A6" t="s">
        <v>1255</v>
      </c>
      <c r="B6">
        <v>233</v>
      </c>
      <c r="C6">
        <v>-17.190817789757588</v>
      </c>
      <c r="D6">
        <v>0.23532138300068819</v>
      </c>
      <c r="F6">
        <v>-28.182762499999999</v>
      </c>
      <c r="G6" t="s">
        <v>2955</v>
      </c>
      <c r="M6" t="s">
        <v>2957</v>
      </c>
      <c r="N6" t="s">
        <v>1529</v>
      </c>
      <c r="O6" t="s">
        <v>2958</v>
      </c>
      <c r="P6" t="s">
        <v>2952</v>
      </c>
      <c r="Q6" t="s">
        <v>2959</v>
      </c>
      <c r="R6" t="s">
        <v>2960</v>
      </c>
    </row>
    <row r="7" spans="1:18">
      <c r="A7" t="s">
        <v>1255</v>
      </c>
      <c r="B7">
        <v>232</v>
      </c>
      <c r="C7">
        <v>-8.9165594512539599</v>
      </c>
      <c r="D7">
        <v>0.23583241107666233</v>
      </c>
      <c r="F7">
        <v>-29.042316599999999</v>
      </c>
      <c r="G7" t="s">
        <v>2955</v>
      </c>
      <c r="M7" t="s">
        <v>1232</v>
      </c>
      <c r="N7" t="s">
        <v>2961</v>
      </c>
      <c r="O7">
        <v>0.05</v>
      </c>
      <c r="P7">
        <v>0.06</v>
      </c>
      <c r="Q7" s="51">
        <v>-25.994908319716178</v>
      </c>
      <c r="R7">
        <v>1.0900000000000001</v>
      </c>
    </row>
    <row r="8" spans="1:18">
      <c r="A8" t="s">
        <v>1255</v>
      </c>
      <c r="B8">
        <v>231</v>
      </c>
      <c r="C8">
        <v>-6.4776789204685343</v>
      </c>
      <c r="D8">
        <v>0.2616595200557803</v>
      </c>
      <c r="F8">
        <v>-29.125824999999999</v>
      </c>
      <c r="G8" t="s">
        <v>2955</v>
      </c>
      <c r="M8" t="s">
        <v>1204</v>
      </c>
      <c r="N8" t="s">
        <v>2962</v>
      </c>
      <c r="O8">
        <v>0.04</v>
      </c>
      <c r="P8">
        <v>7.0000000000000007E-2</v>
      </c>
      <c r="Q8" s="51">
        <v>-26.452234199428311</v>
      </c>
      <c r="R8">
        <v>1.4</v>
      </c>
    </row>
    <row r="9" spans="1:18">
      <c r="A9" t="s">
        <v>1255</v>
      </c>
      <c r="B9">
        <v>230</v>
      </c>
      <c r="C9">
        <v>-1.2053908031684273</v>
      </c>
      <c r="D9">
        <v>0.24307567050861026</v>
      </c>
      <c r="F9">
        <v>-28.499749999999999</v>
      </c>
      <c r="G9" t="s">
        <v>2955</v>
      </c>
      <c r="M9" t="s">
        <v>1204</v>
      </c>
      <c r="N9" t="s">
        <v>2963</v>
      </c>
      <c r="O9">
        <v>0.05</v>
      </c>
      <c r="P9">
        <v>0.08</v>
      </c>
      <c r="Q9" s="51">
        <v>-26.808077591534317</v>
      </c>
      <c r="R9">
        <v>0.75</v>
      </c>
    </row>
    <row r="10" spans="1:18">
      <c r="A10" t="s">
        <v>1255</v>
      </c>
      <c r="B10">
        <v>228</v>
      </c>
      <c r="C10">
        <v>7.7007715953226779</v>
      </c>
      <c r="D10">
        <v>0.23810749609722012</v>
      </c>
      <c r="F10">
        <v>-28.555774900000003</v>
      </c>
      <c r="G10" t="s">
        <v>2955</v>
      </c>
      <c r="M10" t="s">
        <v>2964</v>
      </c>
      <c r="N10" t="s">
        <v>2965</v>
      </c>
      <c r="O10">
        <v>0.04</v>
      </c>
      <c r="P10">
        <v>7.0000000000000007E-2</v>
      </c>
      <c r="Q10" s="51">
        <v>-24.303551292984626</v>
      </c>
      <c r="R10">
        <v>0.59</v>
      </c>
    </row>
    <row r="11" spans="1:18">
      <c r="A11" t="s">
        <v>1255</v>
      </c>
      <c r="B11">
        <v>227</v>
      </c>
      <c r="C11">
        <v>9.0108662238626351</v>
      </c>
      <c r="D11">
        <v>0.25065081594553135</v>
      </c>
      <c r="F11">
        <v>-28.8917875</v>
      </c>
      <c r="G11" t="s">
        <v>2955</v>
      </c>
      <c r="M11" t="s">
        <v>1404</v>
      </c>
      <c r="N11" t="s">
        <v>2966</v>
      </c>
      <c r="O11">
        <v>0.03</v>
      </c>
      <c r="P11">
        <v>0.05</v>
      </c>
      <c r="Q11" s="51">
        <v>-26.415765331991345</v>
      </c>
      <c r="R11">
        <v>0.5</v>
      </c>
    </row>
    <row r="12" spans="1:18">
      <c r="A12" t="s">
        <v>1255</v>
      </c>
      <c r="B12">
        <v>226</v>
      </c>
      <c r="C12">
        <v>13.410975163934999</v>
      </c>
      <c r="D12">
        <v>0.23705724079753629</v>
      </c>
      <c r="F12">
        <v>-29.49</v>
      </c>
      <c r="G12" t="s">
        <v>2955</v>
      </c>
      <c r="M12" t="s">
        <v>1404</v>
      </c>
      <c r="N12" t="s">
        <v>2967</v>
      </c>
      <c r="O12">
        <v>0.69</v>
      </c>
      <c r="P12">
        <v>0.06</v>
      </c>
      <c r="Q12" s="51">
        <v>-30.40101707376682</v>
      </c>
      <c r="R12">
        <v>1.07</v>
      </c>
    </row>
    <row r="13" spans="1:18">
      <c r="A13" t="s">
        <v>1255</v>
      </c>
      <c r="B13">
        <v>225</v>
      </c>
      <c r="C13">
        <v>16.779789923037754</v>
      </c>
      <c r="D13">
        <v>0.20571305975317949</v>
      </c>
      <c r="F13">
        <v>-29.046880300000002</v>
      </c>
      <c r="G13" t="s">
        <v>2955</v>
      </c>
      <c r="M13" t="s">
        <v>1404</v>
      </c>
      <c r="N13" t="s">
        <v>2968</v>
      </c>
      <c r="O13">
        <v>0.13</v>
      </c>
      <c r="P13">
        <v>0.05</v>
      </c>
      <c r="Q13" s="51">
        <v>-29.526955024551309</v>
      </c>
      <c r="R13">
        <v>1.08</v>
      </c>
    </row>
    <row r="14" spans="1:18">
      <c r="A14" t="s">
        <v>1255</v>
      </c>
      <c r="B14">
        <v>224</v>
      </c>
      <c r="C14">
        <v>18.089884551577711</v>
      </c>
      <c r="D14">
        <v>0.18854211788830147</v>
      </c>
      <c r="F14">
        <v>-28.831692500000003</v>
      </c>
      <c r="G14" t="s">
        <v>2955</v>
      </c>
      <c r="M14" t="s">
        <v>2969</v>
      </c>
      <c r="N14" t="s">
        <v>2970</v>
      </c>
      <c r="O14">
        <v>0.09</v>
      </c>
      <c r="P14">
        <v>0.08</v>
      </c>
      <c r="Q14" s="51">
        <v>-29.963028877864691</v>
      </c>
      <c r="R14">
        <v>0.61</v>
      </c>
    </row>
    <row r="15" spans="1:18">
      <c r="A15" t="s">
        <v>1255</v>
      </c>
      <c r="B15">
        <v>222</v>
      </c>
      <c r="C15">
        <v>22.419037778817426</v>
      </c>
      <c r="D15">
        <v>0.28798908565122316</v>
      </c>
      <c r="F15">
        <v>-28.302249999999997</v>
      </c>
      <c r="G15" t="s">
        <v>2955</v>
      </c>
      <c r="M15" t="s">
        <v>2969</v>
      </c>
      <c r="N15" t="s">
        <v>2971</v>
      </c>
      <c r="O15">
        <v>0.19</v>
      </c>
      <c r="P15">
        <v>0.06</v>
      </c>
      <c r="Q15" s="51">
        <v>-30.260046926823833</v>
      </c>
      <c r="R15">
        <v>1.31</v>
      </c>
    </row>
    <row r="16" spans="1:18">
      <c r="A16" t="s">
        <v>1255</v>
      </c>
      <c r="B16">
        <v>221</v>
      </c>
      <c r="C16">
        <v>24.504987686434639</v>
      </c>
      <c r="D16">
        <v>0.23412954261846683</v>
      </c>
      <c r="F16">
        <v>-29.136706400000001</v>
      </c>
      <c r="G16" t="s">
        <v>2955</v>
      </c>
      <c r="M16" t="s">
        <v>2972</v>
      </c>
      <c r="N16" t="s">
        <v>2973</v>
      </c>
      <c r="O16">
        <v>0.56000000000000005</v>
      </c>
      <c r="P16">
        <v>0.09</v>
      </c>
      <c r="Q16" s="51">
        <v>-30.660737174800936</v>
      </c>
      <c r="R16">
        <v>1.1599999999999999</v>
      </c>
    </row>
    <row r="17" spans="1:18">
      <c r="A17" t="s">
        <v>1255</v>
      </c>
      <c r="B17">
        <v>219</v>
      </c>
      <c r="C17">
        <v>31.127473212472069</v>
      </c>
      <c r="D17">
        <v>0.26648538013847689</v>
      </c>
      <c r="F17">
        <v>-28.989549999999998</v>
      </c>
      <c r="G17" t="s">
        <v>2955</v>
      </c>
      <c r="M17" t="s">
        <v>2974</v>
      </c>
      <c r="N17" t="s">
        <v>2975</v>
      </c>
      <c r="O17">
        <v>1.45</v>
      </c>
      <c r="P17">
        <v>0.13</v>
      </c>
      <c r="Q17" s="51">
        <v>-29.961425467815854</v>
      </c>
      <c r="R17">
        <v>0.97</v>
      </c>
    </row>
    <row r="18" spans="1:18">
      <c r="A18" t="s">
        <v>1255</v>
      </c>
      <c r="B18">
        <v>220</v>
      </c>
      <c r="C18">
        <v>31.127473212472069</v>
      </c>
      <c r="D18">
        <v>0.26067296798475509</v>
      </c>
      <c r="F18">
        <v>-29.133724999999998</v>
      </c>
      <c r="G18" t="s">
        <v>2955</v>
      </c>
      <c r="M18" t="s">
        <v>2972</v>
      </c>
      <c r="N18" t="s">
        <v>2976</v>
      </c>
      <c r="O18">
        <v>0.45</v>
      </c>
      <c r="P18">
        <v>0.1</v>
      </c>
      <c r="Q18" s="51">
        <v>-30.056489106424227</v>
      </c>
      <c r="R18">
        <v>1.51</v>
      </c>
    </row>
    <row r="19" spans="1:18">
      <c r="A19" t="s">
        <v>1255</v>
      </c>
      <c r="B19">
        <v>218</v>
      </c>
      <c r="C19">
        <v>35.334565381774709</v>
      </c>
      <c r="D19">
        <v>0.16429996205025957</v>
      </c>
      <c r="F19">
        <v>-29.2403519</v>
      </c>
      <c r="G19" t="s">
        <v>2955</v>
      </c>
      <c r="M19" t="s">
        <v>1255</v>
      </c>
      <c r="N19">
        <v>311</v>
      </c>
      <c r="O19">
        <v>0.28999999999999998</v>
      </c>
      <c r="P19">
        <v>0.12</v>
      </c>
      <c r="Q19" s="51">
        <v>-28.937984339480032</v>
      </c>
      <c r="R19">
        <v>1.46</v>
      </c>
    </row>
    <row r="20" spans="1:18">
      <c r="A20" t="s">
        <v>1255</v>
      </c>
      <c r="B20">
        <v>217</v>
      </c>
      <c r="C20">
        <v>37.353828978809879</v>
      </c>
      <c r="D20">
        <v>0.1897696577598238</v>
      </c>
      <c r="F20">
        <v>-28.910660499999999</v>
      </c>
      <c r="G20" t="s">
        <v>2955</v>
      </c>
      <c r="M20" t="s">
        <v>2977</v>
      </c>
      <c r="N20">
        <v>304</v>
      </c>
      <c r="O20">
        <v>7.0000000000000007E-2</v>
      </c>
      <c r="P20">
        <v>0.08</v>
      </c>
      <c r="Q20" s="51">
        <v>-28.368993469388638</v>
      </c>
      <c r="R20">
        <v>0.89</v>
      </c>
    </row>
    <row r="21" spans="1:18">
      <c r="A21" t="s">
        <v>1255</v>
      </c>
      <c r="B21">
        <v>215</v>
      </c>
      <c r="C21">
        <v>41.941648525173456</v>
      </c>
      <c r="D21">
        <v>0.22282195204689384</v>
      </c>
      <c r="F21">
        <v>-29.220609899999999</v>
      </c>
      <c r="G21" t="s">
        <v>2955</v>
      </c>
      <c r="M21" t="s">
        <v>2977</v>
      </c>
      <c r="N21">
        <v>305</v>
      </c>
      <c r="O21">
        <v>0.06</v>
      </c>
      <c r="P21">
        <v>0.08</v>
      </c>
      <c r="Q21" s="51">
        <v>-28.331099984102224</v>
      </c>
      <c r="R21">
        <v>1.24</v>
      </c>
    </row>
    <row r="22" spans="1:18">
      <c r="A22" t="s">
        <v>1255</v>
      </c>
      <c r="B22">
        <v>213</v>
      </c>
      <c r="C22">
        <v>44.122485744444006</v>
      </c>
      <c r="D22">
        <v>0.22321341399479747</v>
      </c>
      <c r="F22">
        <v>-29.222584099999999</v>
      </c>
      <c r="G22" t="s">
        <v>2955</v>
      </c>
      <c r="M22" t="s">
        <v>2977</v>
      </c>
      <c r="N22">
        <v>306</v>
      </c>
      <c r="O22">
        <v>0.11</v>
      </c>
      <c r="P22">
        <v>0.08</v>
      </c>
      <c r="Q22" s="51">
        <v>-28.815053559633949</v>
      </c>
      <c r="R22">
        <v>1.1100000000000001</v>
      </c>
    </row>
    <row r="23" spans="1:18">
      <c r="A23" t="s">
        <v>1255</v>
      </c>
      <c r="B23">
        <v>212</v>
      </c>
      <c r="C23">
        <v>46.229172350554727</v>
      </c>
      <c r="D23">
        <v>0.27625764028004801</v>
      </c>
      <c r="F23">
        <v>-28.676512499999998</v>
      </c>
      <c r="G23" t="s">
        <v>2955</v>
      </c>
    </row>
    <row r="24" spans="1:18">
      <c r="A24" t="s">
        <v>1255</v>
      </c>
      <c r="B24">
        <v>211</v>
      </c>
      <c r="C24">
        <v>47.884897778247158</v>
      </c>
      <c r="D24">
        <v>0.20623855050342141</v>
      </c>
      <c r="F24">
        <v>-29.174067749999999</v>
      </c>
      <c r="G24" t="s">
        <v>2955</v>
      </c>
    </row>
    <row r="25" spans="1:18">
      <c r="A25" t="s">
        <v>1255</v>
      </c>
      <c r="B25">
        <v>210</v>
      </c>
      <c r="C25">
        <v>51.098953020238369</v>
      </c>
      <c r="D25">
        <v>0.2215685893632327</v>
      </c>
      <c r="F25">
        <v>-28.7314431</v>
      </c>
      <c r="G25" t="s">
        <v>2955</v>
      </c>
    </row>
    <row r="26" spans="1:18">
      <c r="A26" t="s">
        <v>1255</v>
      </c>
      <c r="B26" t="s">
        <v>2978</v>
      </c>
      <c r="C26">
        <v>58.518781602878271</v>
      </c>
      <c r="D26">
        <v>0.2304455014170535</v>
      </c>
      <c r="F26">
        <v>-29.447642900000002</v>
      </c>
      <c r="G26" t="s">
        <v>2955</v>
      </c>
    </row>
    <row r="27" spans="1:18">
      <c r="A27" t="s">
        <v>1255</v>
      </c>
      <c r="B27">
        <v>208</v>
      </c>
      <c r="C27">
        <v>62.162371384527248</v>
      </c>
      <c r="D27">
        <v>0.14678457096854655</v>
      </c>
      <c r="F27">
        <v>-29.572017500000001</v>
      </c>
      <c r="G27" t="s">
        <v>2955</v>
      </c>
      <c r="H27" s="51" t="s">
        <v>2979</v>
      </c>
    </row>
    <row r="28" spans="1:18">
      <c r="A28" t="s">
        <v>1255</v>
      </c>
      <c r="B28">
        <v>207</v>
      </c>
      <c r="C28">
        <v>64.599999999999994</v>
      </c>
      <c r="D28">
        <v>0.24834527645633658</v>
      </c>
      <c r="F28">
        <v>-29.541688000000001</v>
      </c>
      <c r="G28" t="s">
        <v>2955</v>
      </c>
    </row>
    <row r="29" spans="1:18">
      <c r="A29" t="s">
        <v>1255</v>
      </c>
      <c r="B29">
        <v>206</v>
      </c>
      <c r="C29">
        <v>64.896475638058348</v>
      </c>
      <c r="D29">
        <v>0.28470486077604473</v>
      </c>
      <c r="F29">
        <v>-28.966837499999997</v>
      </c>
      <c r="G29" t="s">
        <v>2955</v>
      </c>
    </row>
    <row r="30" spans="1:18">
      <c r="A30" t="s">
        <v>1255</v>
      </c>
      <c r="B30">
        <v>205</v>
      </c>
      <c r="C30">
        <v>65.276475638058329</v>
      </c>
      <c r="D30">
        <v>0.22578794633680624</v>
      </c>
      <c r="F30">
        <v>-29.5325335</v>
      </c>
      <c r="G30" t="s">
        <v>2955</v>
      </c>
    </row>
    <row r="31" spans="1:18">
      <c r="A31" t="s">
        <v>1255</v>
      </c>
      <c r="B31">
        <v>204</v>
      </c>
      <c r="C31">
        <v>65.656475638058325</v>
      </c>
      <c r="D31">
        <v>0.25373202331124489</v>
      </c>
      <c r="F31">
        <v>-29.614637499999997</v>
      </c>
      <c r="G31" t="s">
        <v>2955</v>
      </c>
    </row>
    <row r="32" spans="1:18">
      <c r="A32" t="s">
        <v>1255</v>
      </c>
      <c r="B32">
        <v>203</v>
      </c>
      <c r="C32">
        <v>66.648004546657646</v>
      </c>
      <c r="D32">
        <v>0.26993054413501322</v>
      </c>
      <c r="F32">
        <v>-29.132737499999998</v>
      </c>
      <c r="G32" t="s">
        <v>2955</v>
      </c>
    </row>
    <row r="33" spans="1:7">
      <c r="A33" t="s">
        <v>1255</v>
      </c>
      <c r="B33" t="s">
        <v>2980</v>
      </c>
      <c r="C33">
        <v>68.3</v>
      </c>
      <c r="D33">
        <v>0.34086312354822285</v>
      </c>
      <c r="F33">
        <v>-30.887524999999997</v>
      </c>
      <c r="G33" t="s">
        <v>2955</v>
      </c>
    </row>
    <row r="34" spans="1:7">
      <c r="A34" t="s">
        <v>1255</v>
      </c>
      <c r="B34" t="s">
        <v>2981</v>
      </c>
      <c r="C34">
        <v>66.760000000000005</v>
      </c>
      <c r="D34">
        <v>0.24197267983407181</v>
      </c>
      <c r="F34">
        <v>-33.549999999999997</v>
      </c>
      <c r="G34" t="s">
        <v>2955</v>
      </c>
    </row>
    <row r="35" spans="1:7">
      <c r="A35" t="s">
        <v>1255</v>
      </c>
      <c r="B35">
        <v>202</v>
      </c>
      <c r="C35">
        <v>73.274166975080234</v>
      </c>
      <c r="D35">
        <v>0.26494771615858387</v>
      </c>
      <c r="F35">
        <v>-29.451699999999999</v>
      </c>
      <c r="G35" t="s">
        <v>2955</v>
      </c>
    </row>
    <row r="36" spans="1:7">
      <c r="A36" t="s">
        <v>1255</v>
      </c>
      <c r="B36">
        <v>2</v>
      </c>
      <c r="C36">
        <v>73.7</v>
      </c>
      <c r="D36">
        <v>0.23591016612861701</v>
      </c>
      <c r="F36">
        <v>-29.539714199999999</v>
      </c>
      <c r="G36" t="s">
        <v>2955</v>
      </c>
    </row>
    <row r="37" spans="1:7">
      <c r="A37" t="s">
        <v>1359</v>
      </c>
      <c r="B37">
        <v>3</v>
      </c>
      <c r="C37">
        <v>74.7</v>
      </c>
      <c r="D37">
        <v>0.11375096264415216</v>
      </c>
      <c r="F37">
        <v>-29.8316248</v>
      </c>
      <c r="G37" t="s">
        <v>2955</v>
      </c>
    </row>
    <row r="38" spans="1:7">
      <c r="A38" t="s">
        <v>2972</v>
      </c>
      <c r="B38">
        <v>5</v>
      </c>
      <c r="C38">
        <v>76.099999999999994</v>
      </c>
      <c r="D38">
        <v>0.54483146543051719</v>
      </c>
      <c r="F38">
        <v>-29.567237499999997</v>
      </c>
      <c r="G38" t="s">
        <v>2955</v>
      </c>
    </row>
    <row r="39" spans="1:7">
      <c r="A39" t="s">
        <v>2972</v>
      </c>
      <c r="B39">
        <v>201</v>
      </c>
      <c r="C39">
        <v>76.354309044641113</v>
      </c>
      <c r="D39">
        <v>0.50055605712314688</v>
      </c>
      <c r="F39">
        <v>-30.560662499999999</v>
      </c>
      <c r="G39" t="s">
        <v>2955</v>
      </c>
    </row>
    <row r="40" spans="1:7">
      <c r="A40" t="s">
        <v>2972</v>
      </c>
      <c r="B40">
        <v>6</v>
      </c>
      <c r="C40">
        <v>76.97</v>
      </c>
      <c r="D40">
        <v>0.68367482904591104</v>
      </c>
      <c r="F40">
        <v>-30.768037499999998</v>
      </c>
      <c r="G40" t="s">
        <v>2955</v>
      </c>
    </row>
    <row r="41" spans="1:7">
      <c r="A41" t="s">
        <v>2972</v>
      </c>
      <c r="B41" t="s">
        <v>2982</v>
      </c>
      <c r="C41">
        <v>77.3</v>
      </c>
      <c r="D41">
        <v>0.89784950493865834</v>
      </c>
      <c r="F41">
        <v>-30.909249999999997</v>
      </c>
      <c r="G41" t="s">
        <v>2955</v>
      </c>
    </row>
    <row r="42" spans="1:7">
      <c r="A42" t="s">
        <v>2972</v>
      </c>
      <c r="B42">
        <v>200</v>
      </c>
      <c r="C42">
        <v>77.845144750484081</v>
      </c>
      <c r="D42">
        <v>0.9643140614979524</v>
      </c>
      <c r="F42">
        <v>-30.800624999999997</v>
      </c>
      <c r="G42" t="s">
        <v>2955</v>
      </c>
    </row>
    <row r="43" spans="1:7">
      <c r="A43" t="s">
        <v>2972</v>
      </c>
      <c r="B43">
        <v>7</v>
      </c>
      <c r="C43">
        <v>77.78</v>
      </c>
      <c r="D43">
        <v>0.88911961605860923</v>
      </c>
      <c r="F43">
        <v>-30.919124999999998</v>
      </c>
      <c r="G43" t="s">
        <v>2955</v>
      </c>
    </row>
    <row r="44" spans="1:7">
      <c r="A44" t="s">
        <v>2972</v>
      </c>
      <c r="B44">
        <v>8</v>
      </c>
      <c r="C44">
        <v>78.59</v>
      </c>
      <c r="D44">
        <v>0.88133186876636516</v>
      </c>
      <c r="F44">
        <v>-30.880612499999998</v>
      </c>
      <c r="G44" t="s">
        <v>2955</v>
      </c>
    </row>
    <row r="45" spans="1:7">
      <c r="A45" t="s">
        <v>2972</v>
      </c>
      <c r="B45">
        <v>9</v>
      </c>
      <c r="C45">
        <v>79.805000000000007</v>
      </c>
      <c r="D45">
        <v>0.88110305388063259</v>
      </c>
      <c r="F45">
        <v>-30.157513600000001</v>
      </c>
      <c r="G45" t="s">
        <v>2955</v>
      </c>
    </row>
    <row r="46" spans="1:7">
      <c r="A46" t="s">
        <v>2972</v>
      </c>
      <c r="B46">
        <v>10</v>
      </c>
      <c r="C46">
        <v>80.305000000000007</v>
      </c>
      <c r="D46">
        <v>1.070273290144288</v>
      </c>
      <c r="F46">
        <v>-30.099499999999999</v>
      </c>
      <c r="G46" t="s">
        <v>2955</v>
      </c>
    </row>
    <row r="47" spans="1:7">
      <c r="A47" t="s">
        <v>2972</v>
      </c>
      <c r="B47" t="s">
        <v>2983</v>
      </c>
      <c r="C47">
        <v>80.5</v>
      </c>
      <c r="D47">
        <v>1.4074260029654992</v>
      </c>
      <c r="F47">
        <v>-30.700887499999997</v>
      </c>
      <c r="G47" t="s">
        <v>2955</v>
      </c>
    </row>
    <row r="48" spans="1:7">
      <c r="A48" t="s">
        <v>2972</v>
      </c>
      <c r="B48">
        <v>11</v>
      </c>
      <c r="C48">
        <v>80.805000000000007</v>
      </c>
      <c r="D48">
        <v>1.0105686143609711</v>
      </c>
      <c r="F48">
        <v>-30.177512499999999</v>
      </c>
      <c r="G48" t="s">
        <v>2955</v>
      </c>
    </row>
    <row r="49" spans="1:7">
      <c r="A49" t="s">
        <v>2972</v>
      </c>
      <c r="B49">
        <v>12</v>
      </c>
      <c r="C49">
        <v>82.105000000000004</v>
      </c>
      <c r="D49">
        <v>0.61264517139619257</v>
      </c>
      <c r="F49">
        <v>-29.591526450000003</v>
      </c>
      <c r="G49" t="s">
        <v>2955</v>
      </c>
    </row>
    <row r="50" spans="1:7">
      <c r="A50" t="s">
        <v>2972</v>
      </c>
      <c r="B50" t="s">
        <v>2984</v>
      </c>
      <c r="C50">
        <v>94.9</v>
      </c>
      <c r="D50">
        <v>0.23556024673418799</v>
      </c>
      <c r="F50">
        <v>-30.752589100000002</v>
      </c>
      <c r="G50" t="s">
        <v>2955</v>
      </c>
    </row>
    <row r="51" spans="1:7">
      <c r="A51" t="s">
        <v>2972</v>
      </c>
      <c r="B51">
        <v>13</v>
      </c>
      <c r="C51">
        <v>99.8</v>
      </c>
      <c r="D51">
        <v>0.21007492683823906</v>
      </c>
      <c r="F51">
        <v>-29.435797700000002</v>
      </c>
      <c r="G51" t="s">
        <v>2955</v>
      </c>
    </row>
    <row r="52" spans="1:7">
      <c r="A52" t="s">
        <v>2972</v>
      </c>
      <c r="B52">
        <v>14</v>
      </c>
      <c r="C52">
        <v>100.84</v>
      </c>
      <c r="D52">
        <v>0.32661158744435037</v>
      </c>
      <c r="F52">
        <v>-30.272312499999998</v>
      </c>
      <c r="G52" t="s">
        <v>2955</v>
      </c>
    </row>
    <row r="53" spans="1:7">
      <c r="A53" t="s">
        <v>2972</v>
      </c>
      <c r="B53">
        <v>20</v>
      </c>
      <c r="C53">
        <v>105.5</v>
      </c>
      <c r="D53">
        <v>0.13222017748659926</v>
      </c>
      <c r="F53">
        <v>-30.506801200000002</v>
      </c>
      <c r="G53" t="s">
        <v>2955</v>
      </c>
    </row>
    <row r="54" spans="1:7">
      <c r="A54" t="s">
        <v>2972</v>
      </c>
      <c r="B54" t="s">
        <v>2985</v>
      </c>
      <c r="C54">
        <v>109.6</v>
      </c>
      <c r="D54">
        <v>0.29206359390420139</v>
      </c>
      <c r="F54">
        <v>-29.892125</v>
      </c>
      <c r="G54" t="s">
        <v>2955</v>
      </c>
    </row>
    <row r="55" spans="1:7">
      <c r="A55" t="s">
        <v>1057</v>
      </c>
      <c r="B55">
        <v>65</v>
      </c>
      <c r="C55">
        <v>110.7</v>
      </c>
      <c r="D55">
        <v>0.1474640357967853</v>
      </c>
      <c r="F55">
        <v>-28.410200800000002</v>
      </c>
      <c r="G55" t="s">
        <v>2955</v>
      </c>
    </row>
    <row r="56" spans="1:7">
      <c r="A56" t="s">
        <v>1057</v>
      </c>
      <c r="B56">
        <v>78</v>
      </c>
      <c r="C56">
        <v>118.5</v>
      </c>
      <c r="D56">
        <v>0.17978322303950109</v>
      </c>
      <c r="F56">
        <v>-28.900789500000002</v>
      </c>
      <c r="G56" t="s">
        <v>2955</v>
      </c>
    </row>
    <row r="57" spans="1:7">
      <c r="A57" t="s">
        <v>1057</v>
      </c>
      <c r="B57">
        <v>79</v>
      </c>
      <c r="C57">
        <v>119.2</v>
      </c>
      <c r="D57">
        <v>0.14339644265588794</v>
      </c>
      <c r="F57">
        <v>-29.859263600000002</v>
      </c>
      <c r="G57" t="s">
        <v>2955</v>
      </c>
    </row>
    <row r="58" spans="1:7">
      <c r="A58" t="s">
        <v>1057</v>
      </c>
      <c r="B58">
        <v>105</v>
      </c>
      <c r="C58">
        <v>135.75</v>
      </c>
      <c r="D58">
        <v>0.15968958448695558</v>
      </c>
      <c r="F58">
        <v>-29.283784300000001</v>
      </c>
      <c r="G58" t="s">
        <v>2955</v>
      </c>
    </row>
    <row r="59" spans="1:7">
      <c r="A59" t="s">
        <v>1057</v>
      </c>
      <c r="B59">
        <v>107</v>
      </c>
      <c r="C59">
        <v>138</v>
      </c>
      <c r="D59">
        <v>0.31240981049013072</v>
      </c>
      <c r="F59">
        <v>-30.090612499999999</v>
      </c>
      <c r="G59" t="s">
        <v>2955</v>
      </c>
    </row>
    <row r="60" spans="1:7">
      <c r="A60" t="s">
        <v>1057</v>
      </c>
      <c r="B60">
        <v>108</v>
      </c>
      <c r="C60">
        <v>138.5</v>
      </c>
      <c r="D60">
        <v>0.48322754627708903</v>
      </c>
      <c r="F60">
        <v>-29.408249999999999</v>
      </c>
      <c r="G60" t="s">
        <v>2955</v>
      </c>
    </row>
    <row r="61" spans="1:7">
      <c r="A61" t="s">
        <v>1057</v>
      </c>
      <c r="B61" t="s">
        <v>2986</v>
      </c>
      <c r="C61">
        <v>148</v>
      </c>
      <c r="D61">
        <v>0.33078223801223872</v>
      </c>
      <c r="F61">
        <v>-28.285364300000001</v>
      </c>
      <c r="G61" t="s">
        <v>2955</v>
      </c>
    </row>
    <row r="62" spans="1:7">
      <c r="A62" t="s">
        <v>2987</v>
      </c>
      <c r="B62">
        <v>59</v>
      </c>
      <c r="C62">
        <v>229.25958223981047</v>
      </c>
      <c r="D62">
        <v>0.30473869030173995</v>
      </c>
      <c r="F62">
        <v>-28.078087499999999</v>
      </c>
      <c r="G62" t="s">
        <v>2955</v>
      </c>
    </row>
    <row r="63" spans="1:7">
      <c r="A63" t="s">
        <v>2987</v>
      </c>
      <c r="B63">
        <v>60</v>
      </c>
      <c r="C63">
        <v>230.28158223981046</v>
      </c>
      <c r="D63">
        <v>0.43167971583614412</v>
      </c>
      <c r="F63">
        <v>-28.371374999999997</v>
      </c>
      <c r="G63" t="s">
        <v>2955</v>
      </c>
    </row>
    <row r="65" spans="1:8" ht="45">
      <c r="B65" s="152" t="s">
        <v>727</v>
      </c>
      <c r="C65" s="152" t="s">
        <v>2950</v>
      </c>
      <c r="D65" s="152" t="s">
        <v>2951</v>
      </c>
      <c r="E65" s="152" t="s">
        <v>2952</v>
      </c>
      <c r="F65" s="152" t="s">
        <v>2953</v>
      </c>
      <c r="H65" s="51" t="s">
        <v>2988</v>
      </c>
    </row>
    <row r="66" spans="1:8">
      <c r="A66" t="s">
        <v>2989</v>
      </c>
      <c r="B66" t="s">
        <v>2990</v>
      </c>
      <c r="C66">
        <v>-36.634849294008262</v>
      </c>
      <c r="D66">
        <v>0.13</v>
      </c>
      <c r="E66">
        <v>0.05</v>
      </c>
      <c r="F66">
        <v>-28.025903698953154</v>
      </c>
      <c r="G66" t="s">
        <v>2991</v>
      </c>
      <c r="H66" s="51">
        <v>2.6</v>
      </c>
    </row>
    <row r="67" spans="1:8">
      <c r="A67" t="s">
        <v>2989</v>
      </c>
      <c r="B67" t="s">
        <v>2992</v>
      </c>
      <c r="C67">
        <v>-49.355485335338429</v>
      </c>
      <c r="D67">
        <v>0.11</v>
      </c>
      <c r="E67">
        <v>0.04</v>
      </c>
      <c r="F67">
        <v>-28.639268789379294</v>
      </c>
      <c r="G67" t="s">
        <v>2991</v>
      </c>
      <c r="H67" s="51">
        <v>2.75</v>
      </c>
    </row>
    <row r="68" spans="1:8">
      <c r="A68" t="s">
        <v>2989</v>
      </c>
      <c r="B68" t="s">
        <v>2993</v>
      </c>
      <c r="C68">
        <v>-53.106950709164778</v>
      </c>
      <c r="D68">
        <v>0.05</v>
      </c>
      <c r="E68">
        <v>0.03</v>
      </c>
      <c r="F68">
        <v>-28.0538294897909</v>
      </c>
      <c r="G68" t="s">
        <v>2991</v>
      </c>
      <c r="H68" s="51">
        <v>1.6666666666666667</v>
      </c>
    </row>
    <row r="69" spans="1:8">
      <c r="A69" t="s">
        <v>2989</v>
      </c>
      <c r="B69" t="s">
        <v>2994</v>
      </c>
      <c r="C69">
        <v>-71.521707050987175</v>
      </c>
      <c r="D69">
        <v>0.12</v>
      </c>
      <c r="E69">
        <v>0.05</v>
      </c>
      <c r="F69">
        <v>-28.582796142748979</v>
      </c>
      <c r="G69" t="s">
        <v>2991</v>
      </c>
      <c r="H69" s="51">
        <v>2.4</v>
      </c>
    </row>
    <row r="70" spans="1:8">
      <c r="A70" t="s">
        <v>2989</v>
      </c>
      <c r="B70" t="s">
        <v>2995</v>
      </c>
      <c r="C70">
        <v>-35.799999999999997</v>
      </c>
      <c r="D70">
        <v>7.0000000000000007E-2</v>
      </c>
      <c r="E70">
        <v>0.04</v>
      </c>
      <c r="F70">
        <v>-27.998070477756965</v>
      </c>
      <c r="G70" t="s">
        <v>2991</v>
      </c>
      <c r="H70" s="51">
        <v>1.7500000000000002</v>
      </c>
    </row>
    <row r="71" spans="1:8">
      <c r="A71" t="s">
        <v>2989</v>
      </c>
      <c r="B71" t="s">
        <v>2996</v>
      </c>
      <c r="C71">
        <v>-41.3</v>
      </c>
      <c r="D71">
        <v>7.0000000000000007E-2</v>
      </c>
      <c r="E71">
        <v>0.04</v>
      </c>
      <c r="F71">
        <v>-27.936814222756283</v>
      </c>
      <c r="G71" t="s">
        <v>2991</v>
      </c>
      <c r="H71" s="51">
        <v>1.7500000000000002</v>
      </c>
    </row>
    <row r="72" spans="1:8">
      <c r="A72" t="s">
        <v>1255</v>
      </c>
      <c r="B72" t="s">
        <v>2997</v>
      </c>
      <c r="C72">
        <v>74.45</v>
      </c>
      <c r="D72">
        <v>0.25</v>
      </c>
      <c r="E72">
        <v>0.1</v>
      </c>
      <c r="F72">
        <v>-29.090344894807323</v>
      </c>
      <c r="G72" t="s">
        <v>2991</v>
      </c>
      <c r="H72" s="51">
        <v>2.5</v>
      </c>
    </row>
    <row r="73" spans="1:8">
      <c r="A73" t="s">
        <v>1255</v>
      </c>
      <c r="B73" t="s">
        <v>2998</v>
      </c>
      <c r="C73">
        <v>72.717550000000003</v>
      </c>
      <c r="D73">
        <v>0.28999999999999998</v>
      </c>
      <c r="E73">
        <v>0.12</v>
      </c>
      <c r="F73">
        <v>-28.937984339480032</v>
      </c>
      <c r="G73" t="s">
        <v>2991</v>
      </c>
      <c r="H73" s="51">
        <v>2.4166666666666665</v>
      </c>
    </row>
    <row r="74" spans="1:8">
      <c r="A74" t="s">
        <v>1255</v>
      </c>
      <c r="B74" t="s">
        <v>2999</v>
      </c>
      <c r="C74">
        <v>71.738950000000003</v>
      </c>
      <c r="D74">
        <v>0.28999999999999998</v>
      </c>
      <c r="E74">
        <v>0.11</v>
      </c>
      <c r="F74">
        <v>-29.151452880945691</v>
      </c>
      <c r="G74" t="s">
        <v>2991</v>
      </c>
      <c r="H74" s="51">
        <v>2.6363636363636362</v>
      </c>
    </row>
    <row r="75" spans="1:8">
      <c r="A75" t="s">
        <v>1255</v>
      </c>
      <c r="B75" t="s">
        <v>3000</v>
      </c>
      <c r="C75">
        <v>69.432249999999996</v>
      </c>
      <c r="D75">
        <v>0.26</v>
      </c>
      <c r="E75">
        <v>0.11</v>
      </c>
      <c r="F75">
        <v>-29.043103979870597</v>
      </c>
      <c r="G75" t="s">
        <v>2991</v>
      </c>
      <c r="H75" s="51">
        <v>2.3636363636363638</v>
      </c>
    </row>
    <row r="76" spans="1:8">
      <c r="A76" t="s">
        <v>1255</v>
      </c>
      <c r="B76" t="s">
        <v>3001</v>
      </c>
      <c r="C76">
        <v>61.4</v>
      </c>
      <c r="D76">
        <v>0.28000000000000003</v>
      </c>
      <c r="E76">
        <v>0.1</v>
      </c>
      <c r="F76">
        <v>-28.735441861683434</v>
      </c>
      <c r="G76" t="s">
        <v>2991</v>
      </c>
      <c r="H76" s="51">
        <v>2.8000000000000003</v>
      </c>
    </row>
    <row r="77" spans="1:8">
      <c r="A77" t="s">
        <v>1255</v>
      </c>
      <c r="B77" t="s">
        <v>3002</v>
      </c>
      <c r="C77">
        <v>52.595843741412651</v>
      </c>
      <c r="D77">
        <v>0.28999999999999998</v>
      </c>
      <c r="E77">
        <v>0.09</v>
      </c>
      <c r="F77">
        <v>-28.900027809022728</v>
      </c>
      <c r="G77" t="s">
        <v>2991</v>
      </c>
      <c r="H77" s="51">
        <v>3.2222222222222223</v>
      </c>
    </row>
    <row r="78" spans="1:8">
      <c r="A78" t="s">
        <v>1255</v>
      </c>
      <c r="B78" t="s">
        <v>3003</v>
      </c>
      <c r="C78">
        <v>-0.26960892563988637</v>
      </c>
      <c r="D78">
        <v>0.3</v>
      </c>
      <c r="E78">
        <v>0.09</v>
      </c>
      <c r="F78">
        <v>-28.558709980213834</v>
      </c>
      <c r="G78" t="s">
        <v>2991</v>
      </c>
      <c r="H78" s="51">
        <v>3.3333333333333335</v>
      </c>
    </row>
    <row r="79" spans="1:8">
      <c r="A79" t="s">
        <v>1255</v>
      </c>
      <c r="B79" t="s">
        <v>3004</v>
      </c>
      <c r="C79">
        <v>-34.084835389308836</v>
      </c>
      <c r="D79">
        <v>0.11</v>
      </c>
      <c r="E79">
        <v>0.05</v>
      </c>
      <c r="F79">
        <v>-28.250752350108488</v>
      </c>
      <c r="G79" t="s">
        <v>2991</v>
      </c>
      <c r="H79" s="51">
        <v>2.1999999999999997</v>
      </c>
    </row>
    <row r="80" spans="1:8">
      <c r="A80" t="s">
        <v>2977</v>
      </c>
      <c r="B80" t="s">
        <v>3005</v>
      </c>
      <c r="C80">
        <v>75.45</v>
      </c>
      <c r="D80">
        <v>7.0000000000000007E-2</v>
      </c>
      <c r="E80">
        <v>0.08</v>
      </c>
      <c r="F80">
        <v>-28.368993469388638</v>
      </c>
      <c r="G80" t="s">
        <v>2991</v>
      </c>
      <c r="H80" s="51">
        <v>0.87500000000000011</v>
      </c>
    </row>
    <row r="81" spans="1:9">
      <c r="A81" t="s">
        <v>2977</v>
      </c>
      <c r="B81" t="s">
        <v>3006</v>
      </c>
      <c r="C81">
        <v>75.400000000000006</v>
      </c>
      <c r="D81">
        <v>0.06</v>
      </c>
      <c r="E81">
        <v>0.08</v>
      </c>
      <c r="F81">
        <v>-28.331099984102224</v>
      </c>
      <c r="G81" t="s">
        <v>2991</v>
      </c>
      <c r="H81" s="51">
        <v>0.75</v>
      </c>
    </row>
    <row r="82" spans="1:9">
      <c r="A82" t="s">
        <v>2977</v>
      </c>
      <c r="B82" t="s">
        <v>3007</v>
      </c>
      <c r="C82">
        <v>75.2</v>
      </c>
      <c r="D82">
        <v>0.11</v>
      </c>
      <c r="E82">
        <v>0.08</v>
      </c>
      <c r="F82">
        <v>-28.815053559633949</v>
      </c>
      <c r="G82" t="s">
        <v>2991</v>
      </c>
      <c r="H82" s="51">
        <v>1.375</v>
      </c>
    </row>
    <row r="83" spans="1:9">
      <c r="A83" t="s">
        <v>2977</v>
      </c>
      <c r="B83" t="s">
        <v>3008</v>
      </c>
      <c r="C83">
        <v>74.75</v>
      </c>
      <c r="D83">
        <v>0.38</v>
      </c>
      <c r="E83">
        <v>0.09</v>
      </c>
      <c r="F83">
        <v>-29.589466509335619</v>
      </c>
      <c r="G83" t="s">
        <v>2991</v>
      </c>
      <c r="H83" s="51">
        <v>4.2222222222222223</v>
      </c>
    </row>
    <row r="84" spans="1:9">
      <c r="A84" t="s">
        <v>2974</v>
      </c>
      <c r="B84" t="s">
        <v>2976</v>
      </c>
      <c r="C84">
        <v>75.55</v>
      </c>
      <c r="D84">
        <v>0.45</v>
      </c>
      <c r="E84">
        <v>0.1</v>
      </c>
      <c r="F84">
        <v>-30.056489106424227</v>
      </c>
      <c r="G84" t="s">
        <v>2991</v>
      </c>
      <c r="H84" s="51">
        <v>4.5</v>
      </c>
    </row>
    <row r="85" spans="1:9">
      <c r="A85" t="s">
        <v>2974</v>
      </c>
      <c r="B85" t="s">
        <v>3009</v>
      </c>
      <c r="C85">
        <v>79.2</v>
      </c>
      <c r="D85">
        <v>0.56000000000000005</v>
      </c>
      <c r="E85">
        <v>0.09</v>
      </c>
      <c r="F85">
        <v>-30.660737174800936</v>
      </c>
      <c r="G85" t="s">
        <v>2991</v>
      </c>
      <c r="H85" s="51">
        <v>6.2222222222222232</v>
      </c>
    </row>
    <row r="86" spans="1:9">
      <c r="A86" t="s">
        <v>2974</v>
      </c>
      <c r="B86" t="s">
        <v>3010</v>
      </c>
      <c r="C86">
        <v>82.5</v>
      </c>
      <c r="D86">
        <v>1.45</v>
      </c>
      <c r="E86">
        <v>0.13</v>
      </c>
      <c r="F86">
        <v>-29.961425467815854</v>
      </c>
      <c r="G86" t="s">
        <v>2991</v>
      </c>
      <c r="H86" s="51">
        <v>11.153846153846153</v>
      </c>
    </row>
    <row r="87" spans="1:9">
      <c r="A87" t="s">
        <v>2974</v>
      </c>
      <c r="B87" t="s">
        <v>3011</v>
      </c>
      <c r="C87">
        <v>101.1</v>
      </c>
      <c r="D87">
        <v>0.06</v>
      </c>
      <c r="E87">
        <v>0.06</v>
      </c>
      <c r="F87">
        <v>-27.505029481041976</v>
      </c>
      <c r="G87" t="s">
        <v>2991</v>
      </c>
      <c r="H87" s="51">
        <v>1</v>
      </c>
    </row>
    <row r="88" spans="1:9">
      <c r="A88" t="s">
        <v>1037</v>
      </c>
      <c r="B88" t="s">
        <v>3012</v>
      </c>
      <c r="C88">
        <v>103</v>
      </c>
      <c r="D88">
        <v>0.18</v>
      </c>
      <c r="E88">
        <v>0.06</v>
      </c>
      <c r="F88">
        <v>-30.39058643647089</v>
      </c>
      <c r="G88" t="s">
        <v>2991</v>
      </c>
      <c r="H88" s="51">
        <v>3</v>
      </c>
    </row>
    <row r="89" spans="1:9">
      <c r="A89" t="s">
        <v>1037</v>
      </c>
      <c r="B89" t="s">
        <v>3013</v>
      </c>
      <c r="C89">
        <v>103.5</v>
      </c>
      <c r="D89">
        <v>0.19</v>
      </c>
      <c r="E89">
        <v>0.06</v>
      </c>
      <c r="F89">
        <v>-30.260046926823833</v>
      </c>
      <c r="G89" t="s">
        <v>2991</v>
      </c>
      <c r="H89" s="51">
        <v>3.166666666666667</v>
      </c>
    </row>
    <row r="90" spans="1:9">
      <c r="A90" t="s">
        <v>1037</v>
      </c>
      <c r="B90" t="s">
        <v>3014</v>
      </c>
      <c r="C90">
        <v>104</v>
      </c>
      <c r="D90">
        <v>0.18</v>
      </c>
      <c r="E90">
        <v>0.06</v>
      </c>
      <c r="F90">
        <v>-30.545287569254835</v>
      </c>
      <c r="G90" t="s">
        <v>2991</v>
      </c>
      <c r="H90" s="51">
        <v>3</v>
      </c>
    </row>
    <row r="91" spans="1:9">
      <c r="A91" t="s">
        <v>1037</v>
      </c>
      <c r="B91" t="s">
        <v>3015</v>
      </c>
      <c r="C91">
        <v>104.5</v>
      </c>
      <c r="D91">
        <v>0.19</v>
      </c>
      <c r="E91">
        <v>0.06</v>
      </c>
      <c r="F91">
        <v>-29.813476161604235</v>
      </c>
      <c r="G91" t="s">
        <v>2991</v>
      </c>
      <c r="H91" s="51">
        <v>3.166666666666667</v>
      </c>
    </row>
    <row r="92" spans="1:9">
      <c r="A92" t="s">
        <v>1037</v>
      </c>
      <c r="B92" t="s">
        <v>3016</v>
      </c>
      <c r="C92">
        <v>105</v>
      </c>
      <c r="D92">
        <v>0.16</v>
      </c>
      <c r="E92">
        <v>0.06</v>
      </c>
      <c r="F92">
        <v>-28.854604626051177</v>
      </c>
      <c r="G92" t="s">
        <v>2991</v>
      </c>
      <c r="H92" s="51">
        <v>2.666666666666667</v>
      </c>
    </row>
    <row r="93" spans="1:9">
      <c r="A93" t="s">
        <v>1037</v>
      </c>
      <c r="B93" t="s">
        <v>3017</v>
      </c>
      <c r="C93">
        <v>106</v>
      </c>
      <c r="D93">
        <v>0.12</v>
      </c>
      <c r="E93">
        <v>7.0000000000000007E-2</v>
      </c>
      <c r="F93">
        <v>-29.009017624089605</v>
      </c>
      <c r="G93" t="s">
        <v>2991</v>
      </c>
      <c r="H93" s="51">
        <v>1.714285714285714</v>
      </c>
    </row>
    <row r="94" spans="1:9">
      <c r="A94" t="s">
        <v>1037</v>
      </c>
      <c r="B94" t="s">
        <v>3018</v>
      </c>
      <c r="C94">
        <v>106.5</v>
      </c>
      <c r="D94">
        <v>0.09</v>
      </c>
      <c r="E94">
        <v>0.08</v>
      </c>
      <c r="F94">
        <v>-29.963028877864691</v>
      </c>
      <c r="G94" t="s">
        <v>2991</v>
      </c>
      <c r="H94" s="51">
        <v>1.125</v>
      </c>
    </row>
    <row r="95" spans="1:9">
      <c r="A95" t="s">
        <v>1037</v>
      </c>
      <c r="B95" t="s">
        <v>3019</v>
      </c>
      <c r="C95">
        <v>107</v>
      </c>
      <c r="D95">
        <v>7.0000000000000007E-2</v>
      </c>
      <c r="E95">
        <v>0.08</v>
      </c>
      <c r="F95">
        <v>-29.313028997834781</v>
      </c>
      <c r="G95" t="s">
        <v>2991</v>
      </c>
      <c r="H95" s="51">
        <v>0.87500000000000011</v>
      </c>
    </row>
    <row r="96" spans="1:9">
      <c r="A96" t="s">
        <v>1037</v>
      </c>
      <c r="B96" t="s">
        <v>3020</v>
      </c>
      <c r="C96">
        <v>107.5</v>
      </c>
      <c r="D96">
        <v>7.0000000000000007E-2</v>
      </c>
      <c r="E96">
        <v>0.05</v>
      </c>
      <c r="F96">
        <v>-22.217871500652102</v>
      </c>
      <c r="G96" t="s">
        <v>2991</v>
      </c>
      <c r="H96" s="51">
        <v>1.4000000000000001</v>
      </c>
      <c r="I96" t="s">
        <v>3021</v>
      </c>
    </row>
    <row r="97" spans="1:8">
      <c r="A97" t="s">
        <v>1037</v>
      </c>
      <c r="B97" t="s">
        <v>3022</v>
      </c>
      <c r="C97">
        <v>108</v>
      </c>
      <c r="D97">
        <v>0.12</v>
      </c>
      <c r="E97">
        <v>0.03</v>
      </c>
      <c r="F97">
        <v>-29.9326325892266</v>
      </c>
      <c r="G97" t="s">
        <v>2991</v>
      </c>
      <c r="H97" s="51">
        <v>4</v>
      </c>
    </row>
    <row r="98" spans="1:8">
      <c r="A98" t="s">
        <v>1037</v>
      </c>
      <c r="B98" t="s">
        <v>3023</v>
      </c>
      <c r="C98">
        <v>108.5</v>
      </c>
      <c r="D98">
        <v>0.11</v>
      </c>
      <c r="E98">
        <v>0.05</v>
      </c>
      <c r="F98">
        <v>-29.475896908220289</v>
      </c>
      <c r="G98" t="s">
        <v>2991</v>
      </c>
      <c r="H98" s="51">
        <v>2.1999999999999997</v>
      </c>
    </row>
    <row r="99" spans="1:8">
      <c r="A99" t="s">
        <v>1037</v>
      </c>
      <c r="B99" t="s">
        <v>3024</v>
      </c>
      <c r="C99">
        <v>109</v>
      </c>
      <c r="D99">
        <v>0.11</v>
      </c>
      <c r="E99">
        <v>0.04</v>
      </c>
      <c r="F99">
        <v>-28.841924528525851</v>
      </c>
      <c r="G99" t="s">
        <v>2991</v>
      </c>
      <c r="H99" s="51">
        <v>2.75</v>
      </c>
    </row>
    <row r="100" spans="1:8">
      <c r="A100" t="s">
        <v>1404</v>
      </c>
      <c r="B100" t="s">
        <v>3025</v>
      </c>
      <c r="C100">
        <v>109.7</v>
      </c>
      <c r="D100">
        <v>0.04</v>
      </c>
      <c r="E100">
        <v>0.05</v>
      </c>
      <c r="F100">
        <v>-26.996546655095926</v>
      </c>
      <c r="G100" t="s">
        <v>2991</v>
      </c>
      <c r="H100" s="51">
        <v>0.79999999999999993</v>
      </c>
    </row>
    <row r="101" spans="1:8">
      <c r="A101" t="s">
        <v>1404</v>
      </c>
      <c r="B101" t="s">
        <v>3026</v>
      </c>
      <c r="C101">
        <v>110.95</v>
      </c>
      <c r="D101">
        <v>0.13</v>
      </c>
      <c r="E101">
        <v>0.05</v>
      </c>
      <c r="F101">
        <v>-29.402543749439712</v>
      </c>
      <c r="G101" t="s">
        <v>2991</v>
      </c>
      <c r="H101" s="51">
        <v>2.6</v>
      </c>
    </row>
    <row r="102" spans="1:8">
      <c r="A102" t="s">
        <v>1404</v>
      </c>
      <c r="B102" t="s">
        <v>3027</v>
      </c>
      <c r="C102">
        <v>111.45</v>
      </c>
      <c r="D102">
        <v>0.13</v>
      </c>
      <c r="E102">
        <v>0.05</v>
      </c>
      <c r="F102">
        <v>-29.526955024551309</v>
      </c>
      <c r="G102" t="s">
        <v>2991</v>
      </c>
      <c r="H102" s="51">
        <v>2.6</v>
      </c>
    </row>
    <row r="103" spans="1:8">
      <c r="A103" t="s">
        <v>1404</v>
      </c>
      <c r="B103" t="s">
        <v>3028</v>
      </c>
      <c r="C103">
        <v>112.15</v>
      </c>
      <c r="D103">
        <v>0.11</v>
      </c>
      <c r="E103">
        <v>0.02</v>
      </c>
      <c r="F103">
        <v>-29.337224327183073</v>
      </c>
      <c r="G103" t="s">
        <v>2991</v>
      </c>
      <c r="H103" s="51">
        <v>5.5</v>
      </c>
    </row>
    <row r="104" spans="1:8">
      <c r="A104" t="s">
        <v>1404</v>
      </c>
      <c r="B104" t="s">
        <v>3029</v>
      </c>
      <c r="C104">
        <v>113.45</v>
      </c>
      <c r="D104">
        <v>0.04</v>
      </c>
      <c r="E104">
        <v>0.04</v>
      </c>
      <c r="F104">
        <v>-28.632348636256427</v>
      </c>
      <c r="G104" t="s">
        <v>2991</v>
      </c>
      <c r="H104" s="51">
        <v>1</v>
      </c>
    </row>
    <row r="105" spans="1:8">
      <c r="A105" t="s">
        <v>1404</v>
      </c>
      <c r="B105" t="s">
        <v>3030</v>
      </c>
      <c r="C105">
        <v>114.75</v>
      </c>
      <c r="D105">
        <v>0.04</v>
      </c>
      <c r="E105">
        <v>0.04</v>
      </c>
      <c r="F105">
        <v>-27.912109148393128</v>
      </c>
      <c r="G105" t="s">
        <v>2991</v>
      </c>
      <c r="H105" s="51">
        <v>1</v>
      </c>
    </row>
    <row r="106" spans="1:8">
      <c r="A106" t="s">
        <v>1404</v>
      </c>
      <c r="B106" t="s">
        <v>3031</v>
      </c>
      <c r="C106">
        <v>115.25</v>
      </c>
      <c r="D106">
        <v>0.05</v>
      </c>
      <c r="E106">
        <v>0.05</v>
      </c>
      <c r="F106">
        <v>-27.741968554787327</v>
      </c>
      <c r="G106" t="s">
        <v>2991</v>
      </c>
      <c r="H106" s="51">
        <v>1</v>
      </c>
    </row>
    <row r="107" spans="1:8">
      <c r="A107" t="s">
        <v>1404</v>
      </c>
      <c r="B107" t="s">
        <v>3032</v>
      </c>
      <c r="C107">
        <v>115.75</v>
      </c>
      <c r="D107">
        <v>7.0000000000000007E-2</v>
      </c>
      <c r="E107">
        <v>0.03</v>
      </c>
      <c r="F107">
        <v>-28.643180258423808</v>
      </c>
      <c r="G107" t="s">
        <v>2991</v>
      </c>
      <c r="H107" s="51">
        <v>2.3333333333333335</v>
      </c>
    </row>
    <row r="108" spans="1:8">
      <c r="A108" t="s">
        <v>1404</v>
      </c>
      <c r="B108" t="s">
        <v>3033</v>
      </c>
      <c r="C108">
        <v>116.35</v>
      </c>
      <c r="D108">
        <v>0.88</v>
      </c>
      <c r="E108">
        <v>0.06</v>
      </c>
      <c r="F108">
        <v>-30.115536756974532</v>
      </c>
      <c r="G108" t="s">
        <v>2991</v>
      </c>
      <c r="H108" s="51">
        <v>14.666666666666668</v>
      </c>
    </row>
    <row r="109" spans="1:8">
      <c r="A109" t="s">
        <v>1404</v>
      </c>
      <c r="B109" t="s">
        <v>3034</v>
      </c>
      <c r="C109">
        <v>116.85</v>
      </c>
      <c r="D109">
        <v>0.06</v>
      </c>
      <c r="E109">
        <v>0.05</v>
      </c>
      <c r="F109">
        <v>-28.161302621235325</v>
      </c>
      <c r="G109" t="s">
        <v>2991</v>
      </c>
      <c r="H109" s="51">
        <v>1.2</v>
      </c>
    </row>
    <row r="110" spans="1:8">
      <c r="A110" t="s">
        <v>1404</v>
      </c>
      <c r="B110" t="s">
        <v>3035</v>
      </c>
      <c r="C110">
        <v>117.55</v>
      </c>
      <c r="D110">
        <v>0.05</v>
      </c>
      <c r="E110">
        <v>0.05</v>
      </c>
      <c r="F110">
        <v>-29.65912764045061</v>
      </c>
      <c r="G110" t="s">
        <v>2991</v>
      </c>
      <c r="H110" s="51">
        <v>1</v>
      </c>
    </row>
    <row r="111" spans="1:8">
      <c r="A111" t="s">
        <v>1404</v>
      </c>
      <c r="B111" t="s">
        <v>3036</v>
      </c>
      <c r="C111">
        <v>117.75</v>
      </c>
      <c r="D111">
        <v>0.09</v>
      </c>
      <c r="E111">
        <v>0.04</v>
      </c>
      <c r="F111">
        <v>-28.22206730824157</v>
      </c>
      <c r="G111" t="s">
        <v>2991</v>
      </c>
      <c r="H111" s="51">
        <v>2.25</v>
      </c>
    </row>
    <row r="112" spans="1:8">
      <c r="A112" t="s">
        <v>1404</v>
      </c>
      <c r="B112" t="s">
        <v>3037</v>
      </c>
      <c r="C112">
        <v>118.25</v>
      </c>
      <c r="D112">
        <v>0.69</v>
      </c>
      <c r="E112">
        <v>0.06</v>
      </c>
      <c r="F112">
        <v>-30.40101707376682</v>
      </c>
      <c r="G112" t="s">
        <v>2991</v>
      </c>
      <c r="H112" s="51">
        <v>11.5</v>
      </c>
    </row>
    <row r="113" spans="1:8">
      <c r="A113" t="s">
        <v>1404</v>
      </c>
      <c r="B113" t="s">
        <v>3038</v>
      </c>
      <c r="C113">
        <v>119.7</v>
      </c>
      <c r="D113">
        <v>0.05</v>
      </c>
      <c r="E113">
        <v>0.03</v>
      </c>
      <c r="F113">
        <v>-28.560861451375327</v>
      </c>
      <c r="G113" t="s">
        <v>2991</v>
      </c>
      <c r="H113" s="51">
        <v>1.6666666666666667</v>
      </c>
    </row>
    <row r="114" spans="1:8">
      <c r="A114" t="s">
        <v>1404</v>
      </c>
      <c r="B114" t="s">
        <v>3039</v>
      </c>
      <c r="C114">
        <v>120.2</v>
      </c>
      <c r="D114">
        <v>0.06</v>
      </c>
      <c r="E114">
        <v>0.03</v>
      </c>
      <c r="F114">
        <v>-28.088335745289449</v>
      </c>
      <c r="G114" t="s">
        <v>2991</v>
      </c>
      <c r="H114" s="51">
        <v>2</v>
      </c>
    </row>
    <row r="115" spans="1:8">
      <c r="A115" t="s">
        <v>1404</v>
      </c>
      <c r="B115" t="s">
        <v>3040</v>
      </c>
      <c r="C115">
        <v>121</v>
      </c>
      <c r="D115">
        <v>0.06</v>
      </c>
      <c r="E115">
        <v>0.03</v>
      </c>
      <c r="F115">
        <v>-28.276799158367936</v>
      </c>
      <c r="G115" t="s">
        <v>2991</v>
      </c>
      <c r="H115" s="51">
        <v>2</v>
      </c>
    </row>
    <row r="116" spans="1:8">
      <c r="A116" t="s">
        <v>1404</v>
      </c>
      <c r="B116" t="s">
        <v>3041</v>
      </c>
      <c r="C116">
        <v>122.8</v>
      </c>
      <c r="D116">
        <v>0.03</v>
      </c>
      <c r="E116">
        <v>0.02</v>
      </c>
      <c r="F116">
        <v>-25.593203295629188</v>
      </c>
      <c r="G116" t="s">
        <v>2991</v>
      </c>
      <c r="H116" s="51">
        <v>1.5</v>
      </c>
    </row>
    <row r="117" spans="1:8">
      <c r="A117" t="s">
        <v>1404</v>
      </c>
      <c r="B117" t="s">
        <v>3042</v>
      </c>
      <c r="C117">
        <v>123.8</v>
      </c>
      <c r="D117">
        <v>0.05</v>
      </c>
      <c r="E117">
        <v>0.04</v>
      </c>
      <c r="F117">
        <v>-28.244993876734743</v>
      </c>
      <c r="G117" t="s">
        <v>2991</v>
      </c>
      <c r="H117" s="51">
        <v>1.25</v>
      </c>
    </row>
    <row r="118" spans="1:8">
      <c r="A118" t="s">
        <v>1404</v>
      </c>
      <c r="B118" t="s">
        <v>3043</v>
      </c>
      <c r="C118">
        <v>124.8</v>
      </c>
      <c r="D118">
        <v>0.06</v>
      </c>
      <c r="E118">
        <v>0.04</v>
      </c>
      <c r="F118">
        <v>-26.785592150534718</v>
      </c>
      <c r="G118" t="s">
        <v>2991</v>
      </c>
      <c r="H118" s="51">
        <v>1.5</v>
      </c>
    </row>
    <row r="119" spans="1:8">
      <c r="A119" t="s">
        <v>1404</v>
      </c>
      <c r="B119" t="s">
        <v>3044</v>
      </c>
      <c r="C119">
        <v>125.89999999999999</v>
      </c>
      <c r="D119">
        <v>0.02</v>
      </c>
      <c r="E119">
        <v>0.04</v>
      </c>
      <c r="F119">
        <v>-25.907463928027049</v>
      </c>
      <c r="G119" t="s">
        <v>2991</v>
      </c>
      <c r="H119" s="51">
        <v>0.5</v>
      </c>
    </row>
    <row r="120" spans="1:8">
      <c r="A120" t="s">
        <v>1404</v>
      </c>
      <c r="B120" t="s">
        <v>3045</v>
      </c>
      <c r="C120">
        <v>126.89999999999999</v>
      </c>
      <c r="D120">
        <v>0.03</v>
      </c>
      <c r="E120">
        <v>0.05</v>
      </c>
      <c r="F120">
        <v>-26.415765331991345</v>
      </c>
      <c r="G120" t="s">
        <v>2991</v>
      </c>
      <c r="H120" s="51">
        <v>0.6</v>
      </c>
    </row>
    <row r="121" spans="1:8">
      <c r="A121" t="s">
        <v>1404</v>
      </c>
      <c r="B121" t="s">
        <v>3046</v>
      </c>
      <c r="C121">
        <v>127.89999999999999</v>
      </c>
      <c r="D121">
        <v>0.04</v>
      </c>
      <c r="E121">
        <v>0.04</v>
      </c>
      <c r="F121">
        <v>-28.101337203943377</v>
      </c>
      <c r="G121" t="s">
        <v>2991</v>
      </c>
      <c r="H121" s="51">
        <v>1</v>
      </c>
    </row>
    <row r="122" spans="1:8">
      <c r="A122" t="s">
        <v>1404</v>
      </c>
      <c r="B122" t="s">
        <v>3047</v>
      </c>
      <c r="C122">
        <v>129.1</v>
      </c>
      <c r="D122">
        <v>0.03</v>
      </c>
      <c r="E122">
        <v>0.03</v>
      </c>
      <c r="F122">
        <v>-26.702055372127607</v>
      </c>
      <c r="G122" t="s">
        <v>2991</v>
      </c>
      <c r="H122" s="51">
        <v>1</v>
      </c>
    </row>
    <row r="123" spans="1:8">
      <c r="A123" t="s">
        <v>1404</v>
      </c>
      <c r="B123" t="s">
        <v>3048</v>
      </c>
      <c r="C123">
        <v>130.1</v>
      </c>
      <c r="D123">
        <v>0.05</v>
      </c>
      <c r="E123">
        <v>0.03</v>
      </c>
      <c r="F123">
        <v>-26.513931936920514</v>
      </c>
      <c r="G123" t="s">
        <v>2991</v>
      </c>
      <c r="H123" s="51">
        <v>1.6666666666666667</v>
      </c>
    </row>
    <row r="124" spans="1:8">
      <c r="A124" t="s">
        <v>1404</v>
      </c>
      <c r="B124" t="s">
        <v>3049</v>
      </c>
      <c r="C124">
        <v>131.1</v>
      </c>
      <c r="D124">
        <v>0.04</v>
      </c>
      <c r="E124">
        <v>0.04</v>
      </c>
      <c r="F124">
        <v>-26.146569109132905</v>
      </c>
      <c r="G124" t="s">
        <v>2991</v>
      </c>
      <c r="H124" s="51">
        <v>1</v>
      </c>
    </row>
    <row r="125" spans="1:8">
      <c r="A125" t="s">
        <v>1404</v>
      </c>
      <c r="B125" t="s">
        <v>3050</v>
      </c>
      <c r="C125">
        <v>132.1</v>
      </c>
      <c r="D125">
        <v>0.04</v>
      </c>
      <c r="E125">
        <v>0.04</v>
      </c>
      <c r="F125">
        <v>-25.252530669061194</v>
      </c>
      <c r="G125" t="s">
        <v>2991</v>
      </c>
      <c r="H125" s="51">
        <v>1</v>
      </c>
    </row>
    <row r="126" spans="1:8">
      <c r="A126" t="s">
        <v>1404</v>
      </c>
      <c r="B126" t="s">
        <v>3051</v>
      </c>
      <c r="C126">
        <v>134.05000000000001</v>
      </c>
      <c r="D126">
        <v>0.03</v>
      </c>
      <c r="E126">
        <v>0.02</v>
      </c>
      <c r="F126">
        <v>-26.177466967613761</v>
      </c>
      <c r="G126" t="s">
        <v>2991</v>
      </c>
      <c r="H126" s="51">
        <v>1.5</v>
      </c>
    </row>
    <row r="127" spans="1:8">
      <c r="A127" t="s">
        <v>1404</v>
      </c>
      <c r="B127" t="s">
        <v>3052</v>
      </c>
      <c r="C127">
        <v>135.25</v>
      </c>
      <c r="D127">
        <v>7.0000000000000007E-2</v>
      </c>
      <c r="E127">
        <v>0.03</v>
      </c>
      <c r="F127">
        <v>-28.041429065778935</v>
      </c>
      <c r="G127" t="s">
        <v>2991</v>
      </c>
      <c r="H127" s="51">
        <v>2.3333333333333335</v>
      </c>
    </row>
    <row r="128" spans="1:8">
      <c r="A128" t="s">
        <v>1404</v>
      </c>
      <c r="B128" t="s">
        <v>3053</v>
      </c>
      <c r="C128">
        <v>139.5</v>
      </c>
      <c r="D128">
        <v>0.04</v>
      </c>
      <c r="E128">
        <v>0.03</v>
      </c>
      <c r="F128">
        <v>-26.193548311106465</v>
      </c>
      <c r="G128" t="s">
        <v>2991</v>
      </c>
      <c r="H128" s="51">
        <v>1.3333333333333335</v>
      </c>
    </row>
    <row r="129" spans="1:9">
      <c r="A129" t="s">
        <v>1404</v>
      </c>
      <c r="B129" t="s">
        <v>3054</v>
      </c>
      <c r="C129">
        <v>140</v>
      </c>
      <c r="D129">
        <v>0.04</v>
      </c>
      <c r="E129">
        <v>0.04</v>
      </c>
      <c r="F129">
        <v>-26.156322681231678</v>
      </c>
      <c r="G129" t="s">
        <v>2991</v>
      </c>
      <c r="H129" s="51">
        <v>1</v>
      </c>
    </row>
    <row r="130" spans="1:9">
      <c r="A130" t="s">
        <v>1057</v>
      </c>
      <c r="B130" t="s">
        <v>3055</v>
      </c>
      <c r="C130">
        <v>145.5</v>
      </c>
      <c r="D130">
        <v>0.06</v>
      </c>
      <c r="E130">
        <v>0.03</v>
      </c>
      <c r="F130">
        <v>-27.307149588513724</v>
      </c>
      <c r="G130" t="s">
        <v>2991</v>
      </c>
      <c r="H130" s="51">
        <v>2</v>
      </c>
    </row>
    <row r="131" spans="1:9">
      <c r="A131" t="s">
        <v>3056</v>
      </c>
      <c r="B131" t="s">
        <v>3057</v>
      </c>
      <c r="C131">
        <v>156</v>
      </c>
      <c r="D131">
        <v>0.04</v>
      </c>
      <c r="E131">
        <v>0.04</v>
      </c>
      <c r="F131">
        <v>-25.376828560937678</v>
      </c>
      <c r="G131" t="s">
        <v>2991</v>
      </c>
      <c r="H131" s="51">
        <v>1</v>
      </c>
    </row>
    <row r="132" spans="1:9">
      <c r="A132" t="s">
        <v>1057</v>
      </c>
      <c r="B132" t="s">
        <v>2965</v>
      </c>
      <c r="C132">
        <v>158.6</v>
      </c>
      <c r="D132">
        <v>0.04</v>
      </c>
      <c r="E132">
        <v>7.0000000000000007E-2</v>
      </c>
      <c r="F132">
        <v>-24.303551292984626</v>
      </c>
      <c r="G132" t="s">
        <v>2991</v>
      </c>
      <c r="H132" s="51">
        <v>0.5714285714285714</v>
      </c>
    </row>
    <row r="133" spans="1:9">
      <c r="A133" t="s">
        <v>3058</v>
      </c>
      <c r="B133" t="s">
        <v>3059</v>
      </c>
      <c r="C133">
        <v>160.19999999999999</v>
      </c>
      <c r="D133">
        <v>0.06</v>
      </c>
      <c r="E133">
        <v>7.0000000000000007E-2</v>
      </c>
      <c r="F133">
        <v>-29.056088503248699</v>
      </c>
      <c r="G133" t="s">
        <v>2991</v>
      </c>
      <c r="H133" s="51">
        <v>0.85714285714285698</v>
      </c>
    </row>
    <row r="134" spans="1:9">
      <c r="A134" t="s">
        <v>1126</v>
      </c>
      <c r="B134" t="s">
        <v>3060</v>
      </c>
      <c r="C134">
        <v>163.1</v>
      </c>
      <c r="D134">
        <v>0.03</v>
      </c>
      <c r="E134">
        <v>0.06</v>
      </c>
      <c r="F134">
        <v>-26.585889349551685</v>
      </c>
      <c r="G134" t="s">
        <v>2991</v>
      </c>
      <c r="H134" s="51">
        <v>0.5</v>
      </c>
    </row>
    <row r="135" spans="1:9">
      <c r="A135" t="s">
        <v>3058</v>
      </c>
      <c r="B135" t="s">
        <v>3061</v>
      </c>
      <c r="C135">
        <v>163.56514072535109</v>
      </c>
      <c r="D135">
        <v>0.06</v>
      </c>
      <c r="E135">
        <v>7.0000000000000007E-2</v>
      </c>
      <c r="F135">
        <v>-31.900440576050134</v>
      </c>
      <c r="G135" t="s">
        <v>2991</v>
      </c>
      <c r="H135" s="51">
        <v>0.85714285714285698</v>
      </c>
    </row>
    <row r="136" spans="1:9">
      <c r="A136" t="s">
        <v>3058</v>
      </c>
      <c r="B136" t="s">
        <v>3062</v>
      </c>
      <c r="C136">
        <v>168.09887993323247</v>
      </c>
      <c r="D136">
        <v>0.02</v>
      </c>
      <c r="E136">
        <v>7.0000000000000007E-2</v>
      </c>
      <c r="F136">
        <v>-26.573521282827414</v>
      </c>
      <c r="G136" t="s">
        <v>2991</v>
      </c>
      <c r="H136" s="51">
        <v>0.2857142857142857</v>
      </c>
    </row>
    <row r="137" spans="1:9">
      <c r="A137" t="s">
        <v>1126</v>
      </c>
      <c r="B137" t="s">
        <v>3063</v>
      </c>
      <c r="C137">
        <v>169.52887993323247</v>
      </c>
      <c r="D137">
        <v>0.03</v>
      </c>
      <c r="E137">
        <v>0.05</v>
      </c>
      <c r="F137">
        <v>-26.294587388244643</v>
      </c>
      <c r="G137" t="s">
        <v>2991</v>
      </c>
      <c r="H137" s="51">
        <v>0.6</v>
      </c>
    </row>
    <row r="138" spans="1:9">
      <c r="A138" t="s">
        <v>3058</v>
      </c>
      <c r="B138" t="s">
        <v>3064</v>
      </c>
      <c r="C138">
        <v>170.50648132883043</v>
      </c>
      <c r="D138">
        <v>0.02</v>
      </c>
      <c r="E138">
        <v>0.05</v>
      </c>
      <c r="F138">
        <v>-25.075255489378378</v>
      </c>
      <c r="G138" t="s">
        <v>2991</v>
      </c>
      <c r="H138" s="51">
        <v>0.39999999999999997</v>
      </c>
    </row>
    <row r="139" spans="1:9">
      <c r="A139" t="s">
        <v>3058</v>
      </c>
      <c r="B139" t="s">
        <v>3065</v>
      </c>
      <c r="C139">
        <v>173.84257657969405</v>
      </c>
      <c r="D139">
        <v>0.03</v>
      </c>
      <c r="E139">
        <v>0.06</v>
      </c>
      <c r="F139">
        <v>-26.517063887086696</v>
      </c>
      <c r="G139" t="s">
        <v>2991</v>
      </c>
      <c r="H139" s="51">
        <v>0.5</v>
      </c>
    </row>
    <row r="140" spans="1:9">
      <c r="A140" t="s">
        <v>3058</v>
      </c>
      <c r="B140" t="s">
        <v>3066</v>
      </c>
      <c r="C140">
        <v>177.50982482275464</v>
      </c>
      <c r="D140">
        <v>0.02</v>
      </c>
      <c r="E140">
        <v>0.06</v>
      </c>
      <c r="F140">
        <v>-26.794947264250702</v>
      </c>
      <c r="G140" t="s">
        <v>2991</v>
      </c>
      <c r="H140" s="51">
        <v>0.33333333333333337</v>
      </c>
    </row>
    <row r="141" spans="1:9">
      <c r="A141" t="s">
        <v>3058</v>
      </c>
      <c r="B141" t="s">
        <v>2963</v>
      </c>
      <c r="C141">
        <v>179.35205209902287</v>
      </c>
      <c r="D141">
        <v>0.05</v>
      </c>
      <c r="E141">
        <v>0.08</v>
      </c>
      <c r="F141">
        <v>-26.808077591534317</v>
      </c>
      <c r="G141" t="s">
        <v>2991</v>
      </c>
      <c r="H141" s="51">
        <v>0.625</v>
      </c>
    </row>
    <row r="142" spans="1:9">
      <c r="A142" t="s">
        <v>3058</v>
      </c>
      <c r="B142" t="s">
        <v>3067</v>
      </c>
      <c r="C142">
        <v>181.9</v>
      </c>
      <c r="D142">
        <v>0.03</v>
      </c>
      <c r="E142">
        <v>7.0000000000000007E-2</v>
      </c>
      <c r="F142">
        <v>-26.278488887518925</v>
      </c>
      <c r="G142" t="s">
        <v>2991</v>
      </c>
      <c r="H142" s="51">
        <v>0.42857142857142849</v>
      </c>
    </row>
    <row r="143" spans="1:9">
      <c r="A143" t="s">
        <v>1126</v>
      </c>
      <c r="B143" t="s">
        <v>3068</v>
      </c>
      <c r="C143">
        <v>182.73205209902287</v>
      </c>
      <c r="D143">
        <v>0.04</v>
      </c>
      <c r="E143">
        <v>0.06</v>
      </c>
      <c r="F143">
        <v>-26.539793548249179</v>
      </c>
      <c r="G143" t="s">
        <v>2991</v>
      </c>
      <c r="H143" s="51">
        <v>0.66666666666666674</v>
      </c>
    </row>
    <row r="144" spans="1:9">
      <c r="A144" t="s">
        <v>3058</v>
      </c>
      <c r="B144" t="s">
        <v>3069</v>
      </c>
      <c r="C144">
        <v>183.80147911323562</v>
      </c>
      <c r="D144">
        <v>0.02</v>
      </c>
      <c r="E144">
        <v>0.05</v>
      </c>
      <c r="F144">
        <v>-21.716346175748111</v>
      </c>
      <c r="G144" t="s">
        <v>2991</v>
      </c>
      <c r="H144" s="51">
        <v>0.39999999999999997</v>
      </c>
      <c r="I144" t="s">
        <v>3070</v>
      </c>
    </row>
    <row r="145" spans="1:8">
      <c r="A145" t="s">
        <v>1126</v>
      </c>
      <c r="B145" t="s">
        <v>3071</v>
      </c>
      <c r="C145">
        <v>185.62147911323561</v>
      </c>
      <c r="D145">
        <v>0.03</v>
      </c>
      <c r="E145">
        <v>7.0000000000000007E-2</v>
      </c>
      <c r="F145">
        <v>-26.354548842112511</v>
      </c>
      <c r="G145" t="s">
        <v>2991</v>
      </c>
      <c r="H145" s="51">
        <v>0.42857142857142849</v>
      </c>
    </row>
    <row r="146" spans="1:8">
      <c r="A146" t="s">
        <v>3058</v>
      </c>
      <c r="B146" t="s">
        <v>3072</v>
      </c>
      <c r="C146">
        <v>189.05294046661521</v>
      </c>
      <c r="D146">
        <v>0.03</v>
      </c>
      <c r="E146">
        <v>7.0000000000000007E-2</v>
      </c>
      <c r="F146">
        <v>-26.301271552362881</v>
      </c>
      <c r="G146" t="s">
        <v>2991</v>
      </c>
      <c r="H146" s="51">
        <v>0.42857142857142849</v>
      </c>
    </row>
    <row r="147" spans="1:8">
      <c r="A147" t="s">
        <v>1126</v>
      </c>
      <c r="B147" t="s">
        <v>3073</v>
      </c>
      <c r="C147">
        <v>189.9970493775063</v>
      </c>
      <c r="D147">
        <v>0.04</v>
      </c>
      <c r="E147">
        <v>0.05</v>
      </c>
      <c r="F147">
        <v>-26.144991651637792</v>
      </c>
      <c r="G147" t="s">
        <v>2991</v>
      </c>
      <c r="H147" s="51">
        <v>0.79999999999999993</v>
      </c>
    </row>
    <row r="148" spans="1:8">
      <c r="A148" t="s">
        <v>3058</v>
      </c>
      <c r="B148" t="s">
        <v>3074</v>
      </c>
      <c r="C148">
        <v>191.5</v>
      </c>
      <c r="D148">
        <v>0.03</v>
      </c>
      <c r="E148">
        <v>0.05</v>
      </c>
      <c r="F148">
        <v>-23.785027365812464</v>
      </c>
      <c r="G148" t="s">
        <v>2991</v>
      </c>
      <c r="H148" s="51">
        <v>0.6</v>
      </c>
    </row>
    <row r="149" spans="1:8">
      <c r="A149" t="s">
        <v>3058</v>
      </c>
      <c r="B149" t="s">
        <v>3075</v>
      </c>
      <c r="C149">
        <v>194.05</v>
      </c>
      <c r="D149">
        <v>0.03</v>
      </c>
      <c r="E149">
        <v>0.05</v>
      </c>
      <c r="F149">
        <v>-23.588424396800132</v>
      </c>
      <c r="G149" t="s">
        <v>2991</v>
      </c>
      <c r="H149" s="51">
        <v>0.6</v>
      </c>
    </row>
    <row r="150" spans="1:8">
      <c r="A150" t="s">
        <v>1126</v>
      </c>
      <c r="B150" t="s">
        <v>3076</v>
      </c>
      <c r="C150">
        <v>194.29798997156576</v>
      </c>
      <c r="D150">
        <v>0.06</v>
      </c>
      <c r="E150">
        <v>0.05</v>
      </c>
      <c r="F150">
        <v>-26.481368570089501</v>
      </c>
      <c r="G150" t="s">
        <v>2991</v>
      </c>
      <c r="H150" s="51">
        <v>1.2</v>
      </c>
    </row>
    <row r="151" spans="1:8">
      <c r="A151" t="s">
        <v>1126</v>
      </c>
      <c r="B151" t="s">
        <v>3077</v>
      </c>
      <c r="C151">
        <v>196.29917809037761</v>
      </c>
      <c r="D151">
        <v>0.04</v>
      </c>
      <c r="E151">
        <v>7.0000000000000007E-2</v>
      </c>
      <c r="F151">
        <v>-26.452234199428311</v>
      </c>
      <c r="G151" t="s">
        <v>2991</v>
      </c>
      <c r="H151" s="51">
        <v>0.5714285714285714</v>
      </c>
    </row>
    <row r="152" spans="1:8">
      <c r="A152" t="s">
        <v>1126</v>
      </c>
      <c r="B152" t="s">
        <v>3078</v>
      </c>
      <c r="C152">
        <v>198.23581175374392</v>
      </c>
      <c r="D152">
        <v>0.03</v>
      </c>
      <c r="E152">
        <v>7.0000000000000007E-2</v>
      </c>
      <c r="F152">
        <v>-25.516074344898417</v>
      </c>
      <c r="G152" t="s">
        <v>2991</v>
      </c>
      <c r="H152" s="51">
        <v>0.42857142857142849</v>
      </c>
    </row>
    <row r="153" spans="1:8">
      <c r="A153" t="s">
        <v>3058</v>
      </c>
      <c r="B153" t="s">
        <v>3079</v>
      </c>
      <c r="C153">
        <v>198.4</v>
      </c>
      <c r="D153">
        <v>0.02</v>
      </c>
      <c r="E153">
        <v>7.0000000000000007E-2</v>
      </c>
      <c r="F153">
        <v>-24.664632815686957</v>
      </c>
      <c r="G153" t="s">
        <v>2991</v>
      </c>
      <c r="H153" s="51">
        <v>0.2857142857142857</v>
      </c>
    </row>
    <row r="154" spans="1:8">
      <c r="A154" t="s">
        <v>1126</v>
      </c>
      <c r="B154" t="s">
        <v>3080</v>
      </c>
      <c r="C154">
        <v>199.49462363493205</v>
      </c>
      <c r="D154">
        <v>0.12</v>
      </c>
      <c r="E154">
        <v>7.0000000000000007E-2</v>
      </c>
      <c r="F154">
        <v>-26.940175782252577</v>
      </c>
      <c r="G154" t="s">
        <v>2991</v>
      </c>
      <c r="H154" s="51">
        <v>1.714285714285714</v>
      </c>
    </row>
    <row r="155" spans="1:8">
      <c r="A155" t="s">
        <v>1126</v>
      </c>
      <c r="B155" t="s">
        <v>3080</v>
      </c>
      <c r="C155">
        <v>199.49</v>
      </c>
      <c r="D155">
        <v>0.12</v>
      </c>
      <c r="E155">
        <v>7.0000000000000007E-2</v>
      </c>
      <c r="F155">
        <v>-27.069212568249011</v>
      </c>
      <c r="G155" t="s">
        <v>2991</v>
      </c>
      <c r="H155" s="51">
        <v>1.714285714285714</v>
      </c>
    </row>
    <row r="156" spans="1:8">
      <c r="A156" t="s">
        <v>1126</v>
      </c>
      <c r="B156" t="s">
        <v>3081</v>
      </c>
      <c r="C156">
        <v>205.20769294186272</v>
      </c>
      <c r="D156">
        <v>0.03</v>
      </c>
      <c r="E156">
        <v>7.0000000000000007E-2</v>
      </c>
      <c r="F156">
        <v>-26.307255129896681</v>
      </c>
      <c r="G156" t="s">
        <v>2991</v>
      </c>
      <c r="H156" s="51">
        <v>0.42857142857142849</v>
      </c>
    </row>
    <row r="157" spans="1:8">
      <c r="A157" t="s">
        <v>3058</v>
      </c>
      <c r="B157" t="s">
        <v>3082</v>
      </c>
      <c r="C157">
        <v>205.34964491806309</v>
      </c>
      <c r="D157">
        <v>0.03</v>
      </c>
      <c r="E157">
        <v>7.0000000000000007E-2</v>
      </c>
      <c r="F157">
        <v>-24.946851295313603</v>
      </c>
      <c r="G157" t="s">
        <v>2991</v>
      </c>
      <c r="H157" s="51">
        <v>0.42857142857142849</v>
      </c>
    </row>
    <row r="158" spans="1:8">
      <c r="A158" t="s">
        <v>1232</v>
      </c>
      <c r="B158" t="s">
        <v>3083</v>
      </c>
      <c r="C158">
        <v>210.53569839128406</v>
      </c>
      <c r="D158">
        <v>0.03</v>
      </c>
      <c r="E158">
        <v>0.06</v>
      </c>
      <c r="F158">
        <v>-24.784053050055981</v>
      </c>
      <c r="G158" t="s">
        <v>2991</v>
      </c>
      <c r="H158" s="51">
        <v>0.5</v>
      </c>
    </row>
    <row r="159" spans="1:8">
      <c r="A159" t="s">
        <v>1232</v>
      </c>
      <c r="B159" t="s">
        <v>3084</v>
      </c>
      <c r="C159">
        <v>212.32720462934341</v>
      </c>
      <c r="D159">
        <v>0.03</v>
      </c>
      <c r="E159">
        <v>0.06</v>
      </c>
      <c r="F159">
        <v>-24.784514128492827</v>
      </c>
      <c r="G159" t="s">
        <v>2991</v>
      </c>
      <c r="H159" s="51">
        <v>0.5</v>
      </c>
    </row>
    <row r="160" spans="1:8">
      <c r="A160" t="s">
        <v>1232</v>
      </c>
      <c r="B160" t="s">
        <v>3085</v>
      </c>
      <c r="C160">
        <v>213.54220462934342</v>
      </c>
      <c r="D160">
        <v>0.05</v>
      </c>
      <c r="E160">
        <v>0.06</v>
      </c>
      <c r="F160">
        <v>-25.994908319716178</v>
      </c>
      <c r="G160" t="s">
        <v>2991</v>
      </c>
      <c r="H160" s="51">
        <v>0.83333333333333337</v>
      </c>
    </row>
    <row r="161" spans="1:9">
      <c r="A161" t="s">
        <v>1232</v>
      </c>
      <c r="B161" t="s">
        <v>3086</v>
      </c>
      <c r="C161">
        <v>214.24220462934341</v>
      </c>
      <c r="D161">
        <v>0.04</v>
      </c>
      <c r="E161">
        <v>0.06</v>
      </c>
      <c r="F161">
        <v>-25.875207253738957</v>
      </c>
      <c r="G161" t="s">
        <v>2991</v>
      </c>
      <c r="H161" s="51">
        <v>0.66666666666666674</v>
      </c>
    </row>
    <row r="162" spans="1:9">
      <c r="A162" t="s">
        <v>1232</v>
      </c>
      <c r="B162" t="s">
        <v>3087</v>
      </c>
      <c r="C162">
        <v>214.94220462934339</v>
      </c>
      <c r="D162">
        <v>0.04</v>
      </c>
      <c r="E162">
        <v>0.05</v>
      </c>
      <c r="F162">
        <v>-20.526964260428421</v>
      </c>
      <c r="G162" t="s">
        <v>2991</v>
      </c>
      <c r="H162" s="51">
        <v>0.79999999999999993</v>
      </c>
      <c r="I162" t="s">
        <v>3070</v>
      </c>
    </row>
    <row r="163" spans="1:9">
      <c r="A163" t="s">
        <v>3088</v>
      </c>
      <c r="B163" t="s">
        <v>3089</v>
      </c>
      <c r="C163">
        <v>217.39138240181933</v>
      </c>
      <c r="D163">
        <v>0.05</v>
      </c>
      <c r="E163">
        <v>0.05</v>
      </c>
      <c r="F163">
        <v>-27.390561035444531</v>
      </c>
      <c r="G163" t="s">
        <v>2991</v>
      </c>
      <c r="H163" s="51">
        <v>1</v>
      </c>
    </row>
    <row r="164" spans="1:9">
      <c r="A164" t="s">
        <v>3088</v>
      </c>
      <c r="B164" t="s">
        <v>3090</v>
      </c>
      <c r="C164">
        <v>218.29450740181935</v>
      </c>
      <c r="D164">
        <v>7.0000000000000007E-2</v>
      </c>
      <c r="E164">
        <v>0.05</v>
      </c>
      <c r="F164">
        <v>-27.592105596112876</v>
      </c>
      <c r="G164" t="s">
        <v>2991</v>
      </c>
      <c r="H164" s="51">
        <v>1.4000000000000001</v>
      </c>
    </row>
    <row r="165" spans="1:9">
      <c r="A165" t="s">
        <v>3088</v>
      </c>
      <c r="B165" t="s">
        <v>3091</v>
      </c>
      <c r="C165">
        <v>219.3782574018193</v>
      </c>
      <c r="D165">
        <v>0.06</v>
      </c>
      <c r="E165">
        <v>0.05</v>
      </c>
      <c r="F165">
        <v>-27.370235441011669</v>
      </c>
      <c r="G165" t="s">
        <v>2991</v>
      </c>
      <c r="H165" s="51">
        <v>1.2</v>
      </c>
    </row>
    <row r="166" spans="1:9">
      <c r="A166" t="s">
        <v>3088</v>
      </c>
      <c r="B166" t="s">
        <v>3092</v>
      </c>
      <c r="C166">
        <v>225.93370223981049</v>
      </c>
      <c r="D166">
        <v>7.0000000000000007E-2</v>
      </c>
      <c r="E166">
        <v>0.06</v>
      </c>
      <c r="F166">
        <v>-26.035552251814771</v>
      </c>
      <c r="G166" t="s">
        <v>2991</v>
      </c>
      <c r="H166" s="51">
        <v>1.1666666666666667</v>
      </c>
    </row>
    <row r="167" spans="1:9">
      <c r="A167" t="s">
        <v>3088</v>
      </c>
      <c r="B167" t="s">
        <v>3093</v>
      </c>
      <c r="C167">
        <v>226.67830223981048</v>
      </c>
      <c r="D167">
        <v>0.35</v>
      </c>
      <c r="E167">
        <v>0.06</v>
      </c>
      <c r="F167">
        <v>-28.043604108853923</v>
      </c>
      <c r="G167" t="s">
        <v>2991</v>
      </c>
      <c r="H167" s="51">
        <v>5.833333333333333</v>
      </c>
    </row>
    <row r="168" spans="1:9">
      <c r="A168" t="s">
        <v>3088</v>
      </c>
      <c r="B168" t="s">
        <v>3094</v>
      </c>
      <c r="C168">
        <v>227.27398223981046</v>
      </c>
      <c r="D168">
        <v>0.12</v>
      </c>
      <c r="E168">
        <v>0.05</v>
      </c>
      <c r="F168">
        <v>-27.135989421262686</v>
      </c>
      <c r="G168" t="s">
        <v>2991</v>
      </c>
      <c r="H168" s="51">
        <v>2.4</v>
      </c>
    </row>
    <row r="169" spans="1:9">
      <c r="A169" t="s">
        <v>3088</v>
      </c>
      <c r="B169" t="s">
        <v>3095</v>
      </c>
      <c r="C169">
        <v>231.01158223981045</v>
      </c>
      <c r="D169">
        <v>0.15</v>
      </c>
      <c r="E169">
        <v>0.05</v>
      </c>
      <c r="F169">
        <v>-27.548417593248633</v>
      </c>
      <c r="G169" t="s">
        <v>2991</v>
      </c>
      <c r="H169" s="51">
        <v>2.9999999999999996</v>
      </c>
    </row>
    <row r="170" spans="1:9">
      <c r="A170" t="s">
        <v>3096</v>
      </c>
      <c r="B170" t="s">
        <v>3097</v>
      </c>
      <c r="C170">
        <v>231.3</v>
      </c>
      <c r="D170">
        <v>0.21</v>
      </c>
      <c r="E170">
        <v>0.06</v>
      </c>
      <c r="F170">
        <v>-27.408312252561629</v>
      </c>
      <c r="G170" t="s">
        <v>2991</v>
      </c>
      <c r="H170" s="51">
        <v>3.5</v>
      </c>
    </row>
    <row r="171" spans="1:9">
      <c r="A171" t="s">
        <v>3088</v>
      </c>
      <c r="B171" t="s">
        <v>3098</v>
      </c>
      <c r="C171">
        <v>231.88758223981046</v>
      </c>
      <c r="D171">
        <v>0.25</v>
      </c>
      <c r="E171">
        <v>0.05</v>
      </c>
      <c r="F171">
        <v>-27.978396843071582</v>
      </c>
      <c r="G171" t="s">
        <v>2991</v>
      </c>
      <c r="H171" s="51">
        <v>5</v>
      </c>
    </row>
    <row r="172" spans="1:9">
      <c r="A172" t="s">
        <v>3088</v>
      </c>
      <c r="B172" t="s">
        <v>3099</v>
      </c>
      <c r="C172">
        <v>233.05558223981046</v>
      </c>
      <c r="D172">
        <v>7.0000000000000007E-2</v>
      </c>
      <c r="E172">
        <v>0.06</v>
      </c>
      <c r="F172">
        <v>-25.692122427357425</v>
      </c>
      <c r="G172" t="s">
        <v>2991</v>
      </c>
      <c r="H172" s="51">
        <v>1.1666666666666667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3:K24"/>
  <sheetViews>
    <sheetView tabSelected="1" workbookViewId="0">
      <selection activeCell="K12" sqref="K12"/>
    </sheetView>
  </sheetViews>
  <sheetFormatPr defaultRowHeight="15"/>
  <sheetData>
    <row r="3" spans="1:11" ht="15.75" thickBot="1"/>
    <row r="4" spans="1:11" ht="26.25">
      <c r="A4" t="s">
        <v>1529</v>
      </c>
      <c r="C4" s="748" t="s">
        <v>3100</v>
      </c>
      <c r="D4" s="749" t="s">
        <v>3101</v>
      </c>
      <c r="E4" s="750" t="s">
        <v>3102</v>
      </c>
      <c r="F4" s="751" t="s">
        <v>3103</v>
      </c>
      <c r="G4" s="151" t="s">
        <v>3104</v>
      </c>
      <c r="H4" s="752" t="s">
        <v>3105</v>
      </c>
      <c r="I4" s="753" t="s">
        <v>3106</v>
      </c>
      <c r="K4" s="151" t="s">
        <v>3107</v>
      </c>
    </row>
    <row r="5" spans="1:11">
      <c r="A5" t="s">
        <v>3108</v>
      </c>
      <c r="C5" s="754" t="s">
        <v>3109</v>
      </c>
      <c r="D5" s="755" t="s">
        <v>3110</v>
      </c>
      <c r="E5" s="756" t="s">
        <v>3110</v>
      </c>
      <c r="F5" s="757" t="s">
        <v>3111</v>
      </c>
      <c r="G5" s="758" t="s">
        <v>3112</v>
      </c>
      <c r="H5" s="759" t="s">
        <v>3113</v>
      </c>
      <c r="I5" s="760" t="s">
        <v>3113</v>
      </c>
    </row>
    <row r="6" spans="1:11" ht="16.5" thickBot="1">
      <c r="A6" s="761"/>
      <c r="C6" s="762" t="s">
        <v>3114</v>
      </c>
      <c r="D6" s="763" t="s">
        <v>3115</v>
      </c>
      <c r="E6" s="763" t="s">
        <v>3115</v>
      </c>
      <c r="H6" s="764"/>
      <c r="I6" s="765"/>
    </row>
    <row r="8" spans="1:11">
      <c r="A8" t="s">
        <v>3116</v>
      </c>
    </row>
    <row r="9" spans="1:11">
      <c r="A9" s="766" t="s">
        <v>3117</v>
      </c>
      <c r="C9">
        <v>0.35448753230034419</v>
      </c>
      <c r="D9">
        <v>2.0877449928636063</v>
      </c>
      <c r="E9">
        <v>0.63061466272377031</v>
      </c>
      <c r="F9">
        <v>252.67558528428097</v>
      </c>
      <c r="G9">
        <v>44.941912421805178</v>
      </c>
      <c r="H9">
        <v>0.58894736842105266</v>
      </c>
      <c r="I9">
        <v>4.6942551396942536</v>
      </c>
      <c r="J9" s="151"/>
    </row>
    <row r="10" spans="1:11">
      <c r="A10" s="766" t="s">
        <v>3118</v>
      </c>
      <c r="C10">
        <v>0.65127911217631418</v>
      </c>
      <c r="D10">
        <v>6.1835044026467978</v>
      </c>
      <c r="E10">
        <v>1.9298702652008539</v>
      </c>
      <c r="F10">
        <v>193.52457641335346</v>
      </c>
      <c r="G10">
        <v>36.231884057971016</v>
      </c>
      <c r="H10">
        <v>0.94944000000000006</v>
      </c>
      <c r="I10">
        <v>7.5532264875239923</v>
      </c>
      <c r="J10" s="151"/>
    </row>
    <row r="11" spans="1:11">
      <c r="A11" s="766" t="s">
        <v>3119</v>
      </c>
      <c r="C11">
        <v>0.56513139304888382</v>
      </c>
      <c r="D11">
        <v>2.4481491946877645</v>
      </c>
      <c r="E11">
        <v>1.702175755863238</v>
      </c>
      <c r="F11">
        <v>46.499133448873479</v>
      </c>
      <c r="G11">
        <v>12.927054478301017</v>
      </c>
      <c r="H11">
        <v>0.43319999999999997</v>
      </c>
      <c r="I11">
        <v>1.2277085470085469</v>
      </c>
      <c r="J11" s="151"/>
    </row>
    <row r="13" spans="1:11" ht="18.75">
      <c r="A13" s="767" t="s">
        <v>3120</v>
      </c>
      <c r="B13" s="768"/>
    </row>
    <row r="14" spans="1:11">
      <c r="A14" t="s">
        <v>3121</v>
      </c>
      <c r="C14">
        <v>2.0539645352829501</v>
      </c>
      <c r="D14">
        <v>3.6211980449973744</v>
      </c>
      <c r="E14">
        <v>3.0476228945348791</v>
      </c>
      <c r="F14">
        <v>32.222222222222221</v>
      </c>
      <c r="G14">
        <v>5.9676519799219285</v>
      </c>
      <c r="H14">
        <v>0.17600786627335299</v>
      </c>
      <c r="I14">
        <v>0.75369417989417997</v>
      </c>
    </row>
    <row r="15" spans="1:11">
      <c r="A15" t="s">
        <v>3122</v>
      </c>
      <c r="C15">
        <v>1.8160466384263725</v>
      </c>
      <c r="D15">
        <v>11.168896531476744</v>
      </c>
      <c r="E15">
        <v>6.9810845950593459</v>
      </c>
      <c r="F15">
        <v>59.488054607508531</v>
      </c>
      <c r="G15">
        <v>13.556139692076618</v>
      </c>
      <c r="H15">
        <v>0.60161662817551964</v>
      </c>
      <c r="I15">
        <v>0.81939090909090906</v>
      </c>
    </row>
    <row r="16" spans="1:11">
      <c r="A16" t="s">
        <v>3123</v>
      </c>
      <c r="C16">
        <v>1.240815532090896</v>
      </c>
      <c r="D16">
        <v>64.33263588146562</v>
      </c>
      <c r="E16">
        <v>5.182229575203154</v>
      </c>
      <c r="F16">
        <v>390.32527105921599</v>
      </c>
      <c r="G16">
        <v>60.940927312608729</v>
      </c>
      <c r="H16">
        <v>5.2901960784313724</v>
      </c>
      <c r="I16">
        <v>17.040225396825395</v>
      </c>
    </row>
    <row r="17" spans="1:9">
      <c r="A17" t="s">
        <v>3124</v>
      </c>
      <c r="C17">
        <v>0.35647668393782384</v>
      </c>
      <c r="D17">
        <v>20.793782383419689</v>
      </c>
      <c r="E17">
        <v>3.6559585492227975</v>
      </c>
      <c r="F17">
        <v>396.73267326732673</v>
      </c>
      <c r="G17">
        <v>55.307485298514905</v>
      </c>
      <c r="H17">
        <v>6.1151162790697677</v>
      </c>
      <c r="I17">
        <v>16.096585384615384</v>
      </c>
    </row>
    <row r="18" spans="1:9">
      <c r="A18" t="s">
        <v>3125</v>
      </c>
      <c r="C18">
        <v>0.88787016545473707</v>
      </c>
      <c r="D18">
        <v>31.533881336284118</v>
      </c>
      <c r="E18">
        <v>4.9293919274949944</v>
      </c>
      <c r="F18">
        <v>278.39557399723373</v>
      </c>
      <c r="G18">
        <v>40.563121396942101</v>
      </c>
      <c r="H18">
        <v>3.5525222551928786</v>
      </c>
      <c r="I18">
        <v>13.051120000000001</v>
      </c>
    </row>
    <row r="19" spans="1:9">
      <c r="A19" t="s">
        <v>3126</v>
      </c>
      <c r="C19">
        <v>1.5074496056091147</v>
      </c>
      <c r="D19">
        <v>23.694127957931642</v>
      </c>
      <c r="E19">
        <v>6.1174408413672214</v>
      </c>
      <c r="F19">
        <v>283.8095238095238</v>
      </c>
      <c r="G19">
        <v>42.056593304975046</v>
      </c>
      <c r="H19">
        <v>1.6392441860465117</v>
      </c>
      <c r="I19">
        <v>4.0428073873873878</v>
      </c>
    </row>
    <row r="20" spans="1:9">
      <c r="A20" t="s">
        <v>3127</v>
      </c>
      <c r="C20">
        <v>1.1861606938007618</v>
      </c>
      <c r="D20">
        <v>343.50479511769834</v>
      </c>
      <c r="E20">
        <v>18.423346946267152</v>
      </c>
      <c r="F20">
        <v>467.58854924793792</v>
      </c>
      <c r="G20">
        <v>70.130911033930005</v>
      </c>
      <c r="H20">
        <v>29.678916827852998</v>
      </c>
      <c r="I20">
        <v>37.687516049382722</v>
      </c>
    </row>
    <row r="21" spans="1:9">
      <c r="A21" t="s">
        <v>3128</v>
      </c>
      <c r="C21">
        <v>0.99936470703220437</v>
      </c>
      <c r="D21">
        <v>47.307335190343544</v>
      </c>
      <c r="E21">
        <v>4.520353809314372</v>
      </c>
      <c r="F21">
        <v>610.77320166086861</v>
      </c>
      <c r="G21">
        <v>77.00531997314188</v>
      </c>
      <c r="H21">
        <v>5.2273838630806857</v>
      </c>
      <c r="I21">
        <v>12.792634586466166</v>
      </c>
    </row>
    <row r="22" spans="1:9">
      <c r="A22" t="s">
        <v>3129</v>
      </c>
      <c r="C22">
        <v>1.2436340487449982</v>
      </c>
      <c r="D22">
        <v>4.7653692251727895</v>
      </c>
      <c r="E22">
        <v>2.814659876318661</v>
      </c>
      <c r="F22">
        <v>69.178082191780817</v>
      </c>
      <c r="G22">
        <v>16.030534351145022</v>
      </c>
      <c r="H22">
        <v>0.37769652650822666</v>
      </c>
      <c r="I22">
        <v>1.2945848818897636</v>
      </c>
    </row>
    <row r="23" spans="1:9">
      <c r="A23" t="s">
        <v>3130</v>
      </c>
      <c r="C23">
        <v>2.2496742974129904</v>
      </c>
      <c r="D23">
        <v>90.52205471803461</v>
      </c>
      <c r="E23">
        <v>81.728084868788386</v>
      </c>
      <c r="F23">
        <v>17.259565667011376</v>
      </c>
      <c r="G23">
        <v>3.5723464405037264</v>
      </c>
      <c r="H23">
        <v>3.991726990692865</v>
      </c>
      <c r="I23">
        <v>1.717041922861934</v>
      </c>
    </row>
    <row r="24" spans="1:9">
      <c r="A24" t="s">
        <v>3131</v>
      </c>
      <c r="C24">
        <v>0.22042425185415696</v>
      </c>
      <c r="D24">
        <v>7.8756288574244078</v>
      </c>
      <c r="E24">
        <v>2.0460557025050568</v>
      </c>
      <c r="F24">
        <v>247.69874476987448</v>
      </c>
      <c r="G24">
        <v>35.199209746460312</v>
      </c>
      <c r="H24">
        <v>3.6141176470588232</v>
      </c>
      <c r="I24">
        <v>9.0544355555555551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130"/>
  <sheetViews>
    <sheetView workbookViewId="0">
      <selection activeCell="BC83" sqref="BC83"/>
    </sheetView>
  </sheetViews>
  <sheetFormatPr defaultRowHeight="15"/>
  <sheetData>
    <row r="1" spans="1:60">
      <c r="A1" t="s">
        <v>1804</v>
      </c>
      <c r="B1" t="s">
        <v>1805</v>
      </c>
      <c r="C1" t="s">
        <v>1806</v>
      </c>
      <c r="D1" t="s">
        <v>1807</v>
      </c>
      <c r="E1" t="s">
        <v>1808</v>
      </c>
      <c r="F1" t="s">
        <v>1330</v>
      </c>
      <c r="G1" t="s">
        <v>1809</v>
      </c>
      <c r="H1" t="s">
        <v>1810</v>
      </c>
      <c r="I1" t="s">
        <v>1811</v>
      </c>
      <c r="J1" t="s">
        <v>1812</v>
      </c>
      <c r="K1" t="s">
        <v>1813</v>
      </c>
      <c r="L1" t="s">
        <v>1814</v>
      </c>
      <c r="M1" t="s">
        <v>1815</v>
      </c>
      <c r="N1" t="s">
        <v>1816</v>
      </c>
      <c r="O1" t="s">
        <v>1333</v>
      </c>
      <c r="P1" t="s">
        <v>1334</v>
      </c>
      <c r="Q1" t="s">
        <v>1335</v>
      </c>
      <c r="R1" t="s">
        <v>1817</v>
      </c>
      <c r="S1" t="s">
        <v>1818</v>
      </c>
      <c r="T1" t="s">
        <v>1819</v>
      </c>
      <c r="U1" t="s">
        <v>1820</v>
      </c>
      <c r="V1" t="s">
        <v>1340</v>
      </c>
      <c r="W1" t="s">
        <v>309</v>
      </c>
      <c r="X1" t="s">
        <v>1821</v>
      </c>
      <c r="Y1" t="s">
        <v>1338</v>
      </c>
      <c r="Z1" t="s">
        <v>1822</v>
      </c>
      <c r="AA1" t="s">
        <v>1823</v>
      </c>
      <c r="AB1" t="s">
        <v>1824</v>
      </c>
      <c r="AC1" t="s">
        <v>1825</v>
      </c>
      <c r="AD1" t="s">
        <v>1826</v>
      </c>
      <c r="AE1" t="s">
        <v>1827</v>
      </c>
      <c r="AF1" t="s">
        <v>1828</v>
      </c>
      <c r="AG1" t="s">
        <v>1829</v>
      </c>
      <c r="AH1" t="s">
        <v>1830</v>
      </c>
      <c r="AI1" t="s">
        <v>1831</v>
      </c>
      <c r="AJ1" t="s">
        <v>1832</v>
      </c>
      <c r="AK1" t="s">
        <v>1833</v>
      </c>
      <c r="AL1" t="s">
        <v>1834</v>
      </c>
      <c r="AM1" t="s">
        <v>1835</v>
      </c>
      <c r="AN1" t="s">
        <v>1836</v>
      </c>
      <c r="AO1" t="s">
        <v>1837</v>
      </c>
      <c r="AP1" t="s">
        <v>1838</v>
      </c>
      <c r="AQ1" t="s">
        <v>1839</v>
      </c>
      <c r="AR1" t="s">
        <v>1840</v>
      </c>
      <c r="AS1" t="s">
        <v>1841</v>
      </c>
      <c r="AT1" t="s">
        <v>1842</v>
      </c>
      <c r="AU1" t="s">
        <v>1843</v>
      </c>
      <c r="AV1" t="s">
        <v>1844</v>
      </c>
      <c r="AW1" t="s">
        <v>1845</v>
      </c>
      <c r="AX1" t="s">
        <v>1846</v>
      </c>
      <c r="AY1" t="s">
        <v>1847</v>
      </c>
      <c r="AZ1" t="s">
        <v>1848</v>
      </c>
      <c r="BC1" t="s">
        <v>1849</v>
      </c>
      <c r="BF1" t="s">
        <v>1850</v>
      </c>
    </row>
    <row r="2" spans="1:60">
      <c r="A2" t="s">
        <v>1851</v>
      </c>
      <c r="B2" t="s">
        <v>1852</v>
      </c>
      <c r="C2">
        <v>700</v>
      </c>
      <c r="D2" t="s">
        <v>1853</v>
      </c>
      <c r="E2">
        <v>2</v>
      </c>
      <c r="F2">
        <v>17</v>
      </c>
      <c r="G2">
        <v>51</v>
      </c>
      <c r="H2">
        <v>86</v>
      </c>
      <c r="I2">
        <v>135</v>
      </c>
      <c r="J2">
        <v>2.1000000000000001E-2</v>
      </c>
      <c r="K2">
        <v>10</v>
      </c>
      <c r="L2">
        <v>35.1</v>
      </c>
      <c r="M2">
        <v>6</v>
      </c>
      <c r="N2">
        <v>42.3</v>
      </c>
      <c r="O2">
        <v>1.0013000000000001</v>
      </c>
      <c r="P2">
        <v>1.0004999999999999</v>
      </c>
      <c r="Q2">
        <v>0.99819999999999998</v>
      </c>
      <c r="R2">
        <v>1E-3</v>
      </c>
      <c r="S2">
        <v>2E-3</v>
      </c>
      <c r="T2">
        <v>3.0000000000000001E-3</v>
      </c>
      <c r="U2">
        <v>1.0029999999999999</v>
      </c>
      <c r="V2">
        <v>0.44</v>
      </c>
      <c r="W2">
        <v>1E-3</v>
      </c>
      <c r="X2">
        <v>0.315</v>
      </c>
      <c r="Y2">
        <v>0.32600000000000001</v>
      </c>
      <c r="Z2">
        <v>1.0004999999999999</v>
      </c>
      <c r="AA2">
        <v>0.99829999999999997</v>
      </c>
      <c r="AB2">
        <v>1.0011000000000001</v>
      </c>
      <c r="AC2">
        <v>2.9999999999999997E-4</v>
      </c>
      <c r="AD2">
        <v>-5.9999999999999995E-4</v>
      </c>
      <c r="AE2">
        <v>-2.0000000000000001E-4</v>
      </c>
      <c r="AF2">
        <v>239</v>
      </c>
      <c r="AG2">
        <v>56</v>
      </c>
      <c r="AH2">
        <v>25.6</v>
      </c>
      <c r="AI2">
        <v>358</v>
      </c>
      <c r="AJ2">
        <v>18</v>
      </c>
      <c r="AK2">
        <v>11.1</v>
      </c>
      <c r="AL2">
        <v>98</v>
      </c>
      <c r="AM2">
        <v>28</v>
      </c>
      <c r="AN2">
        <v>7.9</v>
      </c>
      <c r="AO2">
        <v>215</v>
      </c>
      <c r="AP2">
        <v>68</v>
      </c>
      <c r="AQ2">
        <v>2</v>
      </c>
      <c r="AR2">
        <v>18</v>
      </c>
      <c r="AS2">
        <v>95</v>
      </c>
      <c r="AT2">
        <v>11</v>
      </c>
      <c r="AU2">
        <v>175</v>
      </c>
      <c r="AV2">
        <v>7.8</v>
      </c>
      <c r="AW2">
        <v>75</v>
      </c>
      <c r="AX2">
        <v>51.2</v>
      </c>
      <c r="AY2">
        <f>180+91.4</f>
        <v>271.39999999999998</v>
      </c>
      <c r="AZ2">
        <f>--37.7</f>
        <v>37.700000000000003</v>
      </c>
      <c r="BC2" t="s">
        <v>36</v>
      </c>
      <c r="BD2" t="s">
        <v>37</v>
      </c>
      <c r="BF2" t="s">
        <v>36</v>
      </c>
      <c r="BG2" t="s">
        <v>37</v>
      </c>
    </row>
    <row r="3" spans="1:60">
      <c r="A3" t="s">
        <v>1854</v>
      </c>
      <c r="B3" t="s">
        <v>1852</v>
      </c>
      <c r="C3">
        <v>700</v>
      </c>
      <c r="D3" t="s">
        <v>1853</v>
      </c>
      <c r="E3">
        <v>2</v>
      </c>
      <c r="F3">
        <v>17</v>
      </c>
      <c r="G3">
        <v>51</v>
      </c>
      <c r="H3">
        <v>86</v>
      </c>
      <c r="I3">
        <v>145.30000000000001</v>
      </c>
      <c r="J3">
        <v>1.2999999999999999E-2</v>
      </c>
      <c r="K3">
        <v>10</v>
      </c>
      <c r="L3">
        <v>467.7</v>
      </c>
      <c r="M3">
        <v>210.2</v>
      </c>
      <c r="N3">
        <v>353.8</v>
      </c>
      <c r="O3">
        <v>1.004</v>
      </c>
      <c r="P3">
        <v>1.0004</v>
      </c>
      <c r="Q3">
        <v>0.99550000000000005</v>
      </c>
      <c r="R3">
        <v>4.0000000000000001E-3</v>
      </c>
      <c r="S3">
        <v>5.0000000000000001E-3</v>
      </c>
      <c r="T3">
        <v>8.9999999999999993E-3</v>
      </c>
      <c r="U3">
        <v>1.0089999999999999</v>
      </c>
      <c r="V3">
        <v>0.152</v>
      </c>
      <c r="W3">
        <v>3.0000000000000001E-3</v>
      </c>
      <c r="X3">
        <v>0.84499999999999997</v>
      </c>
      <c r="Y3">
        <v>0.54</v>
      </c>
      <c r="Z3">
        <v>1.0003</v>
      </c>
      <c r="AA3">
        <v>1.0018</v>
      </c>
      <c r="AB3">
        <v>0.99790000000000001</v>
      </c>
      <c r="AC3">
        <v>-2.7000000000000001E-3</v>
      </c>
      <c r="AD3">
        <v>2.3E-3</v>
      </c>
      <c r="AE3">
        <v>1.4E-3</v>
      </c>
      <c r="AF3">
        <v>128</v>
      </c>
      <c r="AG3">
        <v>25</v>
      </c>
      <c r="AH3">
        <v>4.2</v>
      </c>
      <c r="AI3">
        <v>10</v>
      </c>
      <c r="AJ3">
        <v>46</v>
      </c>
      <c r="AK3">
        <v>2.9</v>
      </c>
      <c r="AL3">
        <v>236</v>
      </c>
      <c r="AM3">
        <v>34</v>
      </c>
      <c r="AN3">
        <v>1.8</v>
      </c>
      <c r="AO3">
        <v>123</v>
      </c>
      <c r="AP3">
        <v>11</v>
      </c>
      <c r="AQ3">
        <v>23</v>
      </c>
      <c r="AR3">
        <v>41</v>
      </c>
      <c r="AS3">
        <v>224</v>
      </c>
      <c r="AT3">
        <v>47</v>
      </c>
      <c r="AU3">
        <f>118.1+180</f>
        <v>298.10000000000002</v>
      </c>
      <c r="AV3">
        <f>--58.4</f>
        <v>58.4</v>
      </c>
      <c r="AW3">
        <v>103.6</v>
      </c>
      <c r="AX3">
        <v>30.3</v>
      </c>
      <c r="AY3">
        <v>197.2</v>
      </c>
      <c r="AZ3">
        <v>6.4</v>
      </c>
      <c r="BC3">
        <f>AU2</f>
        <v>175</v>
      </c>
      <c r="BD3">
        <f>AV2</f>
        <v>7.8</v>
      </c>
      <c r="BE3" t="s">
        <v>1855</v>
      </c>
      <c r="BF3">
        <f>AU17</f>
        <v>219.5</v>
      </c>
      <c r="BG3">
        <f>AV17</f>
        <v>6.8</v>
      </c>
      <c r="BH3" t="s">
        <v>1855</v>
      </c>
    </row>
    <row r="4" spans="1:60">
      <c r="A4" t="s">
        <v>1856</v>
      </c>
      <c r="B4" t="s">
        <v>1852</v>
      </c>
      <c r="C4">
        <v>700</v>
      </c>
      <c r="D4" t="s">
        <v>1853</v>
      </c>
      <c r="E4">
        <v>2</v>
      </c>
      <c r="F4">
        <v>17</v>
      </c>
      <c r="G4">
        <v>51</v>
      </c>
      <c r="H4">
        <v>86</v>
      </c>
      <c r="I4">
        <v>124</v>
      </c>
      <c r="J4">
        <v>1.9E-2</v>
      </c>
      <c r="K4">
        <v>10</v>
      </c>
      <c r="L4">
        <v>83.5</v>
      </c>
      <c r="M4">
        <v>129.1</v>
      </c>
      <c r="N4">
        <v>4.3</v>
      </c>
      <c r="O4">
        <v>1.0025999999999999</v>
      </c>
      <c r="P4">
        <v>0.999</v>
      </c>
      <c r="Q4">
        <v>0.99839999999999995</v>
      </c>
      <c r="R4">
        <v>4.0000000000000001E-3</v>
      </c>
      <c r="S4">
        <v>1E-3</v>
      </c>
      <c r="T4">
        <v>4.0000000000000001E-3</v>
      </c>
      <c r="U4">
        <v>1.0049999999999999</v>
      </c>
      <c r="V4">
        <v>-0.69199999999999995</v>
      </c>
      <c r="W4">
        <v>2E-3</v>
      </c>
      <c r="X4">
        <v>0.41599999999999998</v>
      </c>
      <c r="Y4">
        <v>1.4670000000000001</v>
      </c>
      <c r="Z4">
        <v>0.999</v>
      </c>
      <c r="AA4">
        <v>0.99839999999999995</v>
      </c>
      <c r="AB4">
        <v>1.0024999999999999</v>
      </c>
      <c r="AC4">
        <v>0</v>
      </c>
      <c r="AD4">
        <v>-2.9999999999999997E-4</v>
      </c>
      <c r="AE4">
        <v>2.0000000000000001E-4</v>
      </c>
      <c r="AF4">
        <v>281</v>
      </c>
      <c r="AG4">
        <v>68</v>
      </c>
      <c r="AH4">
        <v>6.6</v>
      </c>
      <c r="AI4">
        <v>184</v>
      </c>
      <c r="AJ4">
        <v>3</v>
      </c>
      <c r="AK4">
        <v>32.799999999999997</v>
      </c>
      <c r="AL4">
        <v>93</v>
      </c>
      <c r="AM4">
        <v>21</v>
      </c>
      <c r="AN4">
        <v>5.6</v>
      </c>
      <c r="AO4">
        <v>309</v>
      </c>
      <c r="AP4">
        <v>84</v>
      </c>
      <c r="AQ4">
        <v>181</v>
      </c>
      <c r="AR4">
        <v>3</v>
      </c>
      <c r="AS4">
        <v>91</v>
      </c>
      <c r="AT4">
        <v>4</v>
      </c>
      <c r="AU4">
        <v>155.9</v>
      </c>
      <c r="AV4">
        <v>20.5</v>
      </c>
      <c r="AW4">
        <f>-180+222.4</f>
        <v>42.400000000000006</v>
      </c>
      <c r="AX4">
        <f>--46.5</f>
        <v>46.5</v>
      </c>
      <c r="AY4">
        <f>180+81</f>
        <v>261</v>
      </c>
      <c r="AZ4">
        <f>--36.7</f>
        <v>36.700000000000003</v>
      </c>
      <c r="BC4">
        <f t="shared" ref="BC4:BD10" si="0">AU3</f>
        <v>298.10000000000002</v>
      </c>
      <c r="BD4">
        <f t="shared" si="0"/>
        <v>58.4</v>
      </c>
      <c r="BE4" t="s">
        <v>1855</v>
      </c>
      <c r="BF4">
        <f t="shared" ref="BF4:BG7" si="1">AU18</f>
        <v>213.2</v>
      </c>
      <c r="BG4">
        <f t="shared" si="1"/>
        <v>3.4</v>
      </c>
      <c r="BH4" t="s">
        <v>1855</v>
      </c>
    </row>
    <row r="5" spans="1:60">
      <c r="A5" t="s">
        <v>1857</v>
      </c>
      <c r="B5" t="s">
        <v>1852</v>
      </c>
      <c r="C5">
        <v>700</v>
      </c>
      <c r="D5" t="s">
        <v>1853</v>
      </c>
      <c r="E5">
        <v>0</v>
      </c>
      <c r="F5">
        <v>0</v>
      </c>
      <c r="G5">
        <v>51</v>
      </c>
      <c r="H5">
        <v>86</v>
      </c>
      <c r="I5">
        <v>193.2</v>
      </c>
      <c r="J5">
        <v>1.4999999999999999E-2</v>
      </c>
      <c r="K5">
        <v>10</v>
      </c>
      <c r="L5">
        <v>192.1</v>
      </c>
      <c r="M5">
        <v>204.2</v>
      </c>
      <c r="N5">
        <v>101.3</v>
      </c>
      <c r="O5">
        <v>1.0035000000000001</v>
      </c>
      <c r="P5">
        <v>0.99960000000000004</v>
      </c>
      <c r="Q5">
        <v>0.99690000000000001</v>
      </c>
      <c r="R5">
        <v>4.0000000000000001E-3</v>
      </c>
      <c r="S5">
        <v>3.0000000000000001E-3</v>
      </c>
      <c r="T5">
        <v>7.0000000000000001E-3</v>
      </c>
      <c r="U5">
        <v>1.0069999999999999</v>
      </c>
      <c r="V5">
        <v>-0.17699999999999999</v>
      </c>
      <c r="W5">
        <v>3.0000000000000001E-3</v>
      </c>
      <c r="X5">
        <v>0.65300000000000002</v>
      </c>
      <c r="Y5">
        <v>0.83499999999999996</v>
      </c>
      <c r="Z5">
        <v>1.0008999999999999</v>
      </c>
      <c r="AA5">
        <v>0.99929999999999997</v>
      </c>
      <c r="AB5">
        <v>0.99980000000000002</v>
      </c>
      <c r="AC5">
        <v>-3.0999999999999999E-3</v>
      </c>
      <c r="AD5">
        <v>-5.0000000000000001E-4</v>
      </c>
      <c r="AE5">
        <v>6.9999999999999999E-4</v>
      </c>
      <c r="AF5">
        <v>322</v>
      </c>
      <c r="AG5">
        <v>13</v>
      </c>
      <c r="AH5">
        <v>4.8</v>
      </c>
      <c r="AI5">
        <v>140</v>
      </c>
      <c r="AJ5">
        <v>77</v>
      </c>
      <c r="AK5">
        <v>7</v>
      </c>
      <c r="AL5">
        <v>232</v>
      </c>
      <c r="AM5">
        <v>0</v>
      </c>
      <c r="AN5">
        <v>2.4</v>
      </c>
      <c r="AO5">
        <v>322</v>
      </c>
      <c r="AP5">
        <v>13</v>
      </c>
      <c r="AQ5">
        <v>140</v>
      </c>
      <c r="AR5">
        <v>77</v>
      </c>
      <c r="AS5">
        <v>232</v>
      </c>
      <c r="AT5">
        <v>0</v>
      </c>
      <c r="AU5">
        <v>134.80000000000001</v>
      </c>
      <c r="AV5">
        <v>80.900000000000006</v>
      </c>
      <c r="AW5">
        <f>180+140.8</f>
        <v>320.8</v>
      </c>
      <c r="AX5">
        <f>--9</f>
        <v>9</v>
      </c>
      <c r="AY5">
        <v>231</v>
      </c>
      <c r="AZ5">
        <v>1</v>
      </c>
      <c r="BC5">
        <f t="shared" si="0"/>
        <v>155.9</v>
      </c>
      <c r="BD5">
        <f t="shared" si="0"/>
        <v>20.5</v>
      </c>
      <c r="BE5" t="s">
        <v>1855</v>
      </c>
      <c r="BF5">
        <f t="shared" si="1"/>
        <v>205.2</v>
      </c>
      <c r="BG5">
        <f t="shared" si="1"/>
        <v>3.9</v>
      </c>
      <c r="BH5" t="s">
        <v>1855</v>
      </c>
    </row>
    <row r="6" spans="1:60">
      <c r="A6" t="s">
        <v>1858</v>
      </c>
      <c r="B6" t="s">
        <v>1852</v>
      </c>
      <c r="C6">
        <v>700</v>
      </c>
      <c r="D6" t="s">
        <v>1853</v>
      </c>
      <c r="E6">
        <v>0</v>
      </c>
      <c r="F6">
        <v>0</v>
      </c>
      <c r="G6">
        <v>51</v>
      </c>
      <c r="H6">
        <v>86</v>
      </c>
      <c r="I6">
        <v>190.2</v>
      </c>
      <c r="J6">
        <v>0.02</v>
      </c>
      <c r="K6">
        <v>10</v>
      </c>
      <c r="L6">
        <v>702.5</v>
      </c>
      <c r="M6">
        <v>91.9</v>
      </c>
      <c r="N6">
        <v>849.8</v>
      </c>
      <c r="O6">
        <v>1.006</v>
      </c>
      <c r="P6">
        <v>1.0026999999999999</v>
      </c>
      <c r="Q6">
        <v>0.99129999999999996</v>
      </c>
      <c r="R6">
        <v>3.0000000000000001E-3</v>
      </c>
      <c r="S6">
        <v>1.0999999999999999E-2</v>
      </c>
      <c r="T6">
        <v>1.4999999999999999E-2</v>
      </c>
      <c r="U6">
        <v>1.016</v>
      </c>
      <c r="V6">
        <v>0.54300000000000004</v>
      </c>
      <c r="W6">
        <v>6.0000000000000001E-3</v>
      </c>
      <c r="X6">
        <v>1.466</v>
      </c>
      <c r="Y6">
        <v>0.26</v>
      </c>
      <c r="Z6">
        <v>0.99560000000000004</v>
      </c>
      <c r="AA6">
        <v>0.99919999999999998</v>
      </c>
      <c r="AB6">
        <v>1.0051000000000001</v>
      </c>
      <c r="AC6">
        <v>5.0000000000000001E-3</v>
      </c>
      <c r="AD6">
        <v>-1.6000000000000001E-3</v>
      </c>
      <c r="AE6">
        <v>3.0999999999999999E-3</v>
      </c>
      <c r="AF6">
        <v>354</v>
      </c>
      <c r="AG6">
        <v>74</v>
      </c>
      <c r="AH6">
        <v>7.3</v>
      </c>
      <c r="AI6">
        <v>237</v>
      </c>
      <c r="AJ6">
        <v>7</v>
      </c>
      <c r="AK6">
        <v>1.9</v>
      </c>
      <c r="AL6">
        <v>146</v>
      </c>
      <c r="AM6">
        <v>14</v>
      </c>
      <c r="AN6">
        <v>1.6</v>
      </c>
      <c r="AO6">
        <v>354</v>
      </c>
      <c r="AP6">
        <v>74</v>
      </c>
      <c r="AQ6">
        <v>237</v>
      </c>
      <c r="AR6">
        <v>7</v>
      </c>
      <c r="AS6">
        <v>146</v>
      </c>
      <c r="AT6">
        <v>14</v>
      </c>
      <c r="AU6">
        <v>132</v>
      </c>
      <c r="AV6">
        <v>17.3</v>
      </c>
      <c r="AW6">
        <v>224.4</v>
      </c>
      <c r="AX6">
        <v>6.4</v>
      </c>
      <c r="AY6">
        <f>180+156.3</f>
        <v>336.3</v>
      </c>
      <c r="AZ6">
        <f>--71.3</f>
        <v>71.3</v>
      </c>
      <c r="BC6">
        <f t="shared" si="0"/>
        <v>134.80000000000001</v>
      </c>
      <c r="BD6">
        <f t="shared" si="0"/>
        <v>80.900000000000006</v>
      </c>
      <c r="BE6" t="s">
        <v>1855</v>
      </c>
      <c r="BF6">
        <f t="shared" si="1"/>
        <v>195.2</v>
      </c>
      <c r="BG6">
        <f t="shared" si="1"/>
        <v>13.5</v>
      </c>
      <c r="BH6" t="s">
        <v>1855</v>
      </c>
    </row>
    <row r="7" spans="1:60">
      <c r="A7" t="s">
        <v>1859</v>
      </c>
      <c r="B7" t="s">
        <v>1852</v>
      </c>
      <c r="C7">
        <v>700</v>
      </c>
      <c r="D7" t="s">
        <v>1853</v>
      </c>
      <c r="E7">
        <v>102</v>
      </c>
      <c r="F7">
        <v>10</v>
      </c>
      <c r="G7">
        <v>51</v>
      </c>
      <c r="H7">
        <v>86</v>
      </c>
      <c r="I7">
        <v>385.8</v>
      </c>
      <c r="J7">
        <v>4.1000000000000002E-2</v>
      </c>
      <c r="K7">
        <v>10</v>
      </c>
      <c r="L7">
        <v>340.4</v>
      </c>
      <c r="M7">
        <v>85.8</v>
      </c>
      <c r="N7">
        <v>505.1</v>
      </c>
      <c r="O7">
        <v>1.0098</v>
      </c>
      <c r="P7">
        <v>1.0031000000000001</v>
      </c>
      <c r="Q7">
        <v>0.98709999999999998</v>
      </c>
      <c r="R7">
        <v>7.0000000000000001E-3</v>
      </c>
      <c r="S7">
        <v>1.6E-2</v>
      </c>
      <c r="T7">
        <v>2.3E-2</v>
      </c>
      <c r="U7">
        <v>1.024</v>
      </c>
      <c r="V7">
        <v>0.41899999999999998</v>
      </c>
      <c r="W7">
        <v>0.01</v>
      </c>
      <c r="X7">
        <v>2.2440000000000002</v>
      </c>
      <c r="Y7">
        <v>0.34300000000000003</v>
      </c>
      <c r="Z7">
        <v>0.99639999999999995</v>
      </c>
      <c r="AA7">
        <v>1.0003</v>
      </c>
      <c r="AB7">
        <v>1.0033000000000001</v>
      </c>
      <c r="AC7">
        <v>-1.0999999999999999E-2</v>
      </c>
      <c r="AD7">
        <v>-5.0000000000000001E-4</v>
      </c>
      <c r="AE7">
        <v>1.1000000000000001E-3</v>
      </c>
      <c r="AF7">
        <v>52</v>
      </c>
      <c r="AG7">
        <v>2</v>
      </c>
      <c r="AH7">
        <v>7.5</v>
      </c>
      <c r="AI7">
        <v>294</v>
      </c>
      <c r="AJ7">
        <v>85</v>
      </c>
      <c r="AK7">
        <v>3.2</v>
      </c>
      <c r="AL7">
        <v>142</v>
      </c>
      <c r="AM7">
        <v>5</v>
      </c>
      <c r="AN7">
        <v>1.9</v>
      </c>
      <c r="AO7">
        <v>310</v>
      </c>
      <c r="AP7">
        <v>10</v>
      </c>
      <c r="AQ7">
        <v>119</v>
      </c>
      <c r="AR7">
        <v>80</v>
      </c>
      <c r="AS7">
        <v>220</v>
      </c>
      <c r="AT7">
        <v>2</v>
      </c>
      <c r="AU7">
        <f>180+53.1</f>
        <v>233.1</v>
      </c>
      <c r="AV7">
        <f>--0.9</f>
        <v>0.9</v>
      </c>
      <c r="AW7">
        <v>143.30000000000001</v>
      </c>
      <c r="AX7">
        <v>8.5</v>
      </c>
      <c r="AY7">
        <f>180+147.3</f>
        <v>327.3</v>
      </c>
      <c r="AZ7">
        <f>--80.9</f>
        <v>80.900000000000006</v>
      </c>
      <c r="BC7">
        <f t="shared" si="0"/>
        <v>132</v>
      </c>
      <c r="BD7">
        <f t="shared" si="0"/>
        <v>17.3</v>
      </c>
      <c r="BE7" t="s">
        <v>1855</v>
      </c>
      <c r="BF7">
        <f t="shared" si="1"/>
        <v>186.9</v>
      </c>
      <c r="BG7">
        <f t="shared" si="1"/>
        <v>0.5</v>
      </c>
      <c r="BH7" t="s">
        <v>1855</v>
      </c>
    </row>
    <row r="8" spans="1:60">
      <c r="A8" t="s">
        <v>1860</v>
      </c>
      <c r="B8" t="s">
        <v>1852</v>
      </c>
      <c r="C8">
        <v>700</v>
      </c>
      <c r="D8" t="s">
        <v>1853</v>
      </c>
      <c r="E8">
        <v>102</v>
      </c>
      <c r="F8">
        <v>10</v>
      </c>
      <c r="G8">
        <v>51</v>
      </c>
      <c r="H8">
        <v>86</v>
      </c>
      <c r="I8">
        <v>420.3</v>
      </c>
      <c r="J8">
        <v>0.04</v>
      </c>
      <c r="K8">
        <v>10</v>
      </c>
      <c r="L8">
        <v>552.29999999999995</v>
      </c>
      <c r="M8">
        <v>139.19999999999999</v>
      </c>
      <c r="N8">
        <v>770.3</v>
      </c>
      <c r="O8">
        <v>1.0119</v>
      </c>
      <c r="P8">
        <v>1.0037</v>
      </c>
      <c r="Q8">
        <v>0.98440000000000005</v>
      </c>
      <c r="R8">
        <v>8.0000000000000002E-3</v>
      </c>
      <c r="S8">
        <v>1.9E-2</v>
      </c>
      <c r="T8">
        <v>2.8000000000000001E-2</v>
      </c>
      <c r="U8">
        <v>1.0289999999999999</v>
      </c>
      <c r="V8">
        <v>0.41099999999999998</v>
      </c>
      <c r="W8">
        <v>1.0999999999999999E-2</v>
      </c>
      <c r="X8">
        <v>2.7090000000000001</v>
      </c>
      <c r="Y8">
        <v>0.34899999999999998</v>
      </c>
      <c r="Z8">
        <v>0.99299999999999999</v>
      </c>
      <c r="AA8">
        <v>1.0041</v>
      </c>
      <c r="AB8">
        <v>1.0029999999999999</v>
      </c>
      <c r="AC8">
        <v>-1.21E-2</v>
      </c>
      <c r="AD8">
        <v>1.6000000000000001E-3</v>
      </c>
      <c r="AE8">
        <v>3.5000000000000001E-3</v>
      </c>
      <c r="AF8">
        <v>225</v>
      </c>
      <c r="AG8">
        <v>5</v>
      </c>
      <c r="AH8">
        <v>6</v>
      </c>
      <c r="AI8">
        <v>97</v>
      </c>
      <c r="AJ8">
        <v>82</v>
      </c>
      <c r="AK8">
        <v>2.5</v>
      </c>
      <c r="AL8">
        <v>316</v>
      </c>
      <c r="AM8">
        <v>6</v>
      </c>
      <c r="AN8">
        <v>1.5</v>
      </c>
      <c r="AO8">
        <v>303</v>
      </c>
      <c r="AP8">
        <v>4</v>
      </c>
      <c r="AQ8">
        <v>51</v>
      </c>
      <c r="AR8">
        <v>78</v>
      </c>
      <c r="AS8">
        <v>212</v>
      </c>
      <c r="AT8">
        <v>11</v>
      </c>
      <c r="AU8">
        <f>-180+225.6</f>
        <v>45.599999999999994</v>
      </c>
      <c r="AV8">
        <f>--5.6</f>
        <v>5.6</v>
      </c>
      <c r="AW8">
        <f>180+135.4</f>
        <v>315.39999999999998</v>
      </c>
      <c r="AX8">
        <f>--1.8</f>
        <v>1.8</v>
      </c>
      <c r="AY8">
        <v>208.9</v>
      </c>
      <c r="AZ8">
        <v>84.6</v>
      </c>
      <c r="BC8">
        <f t="shared" si="0"/>
        <v>233.1</v>
      </c>
      <c r="BD8">
        <f t="shared" si="0"/>
        <v>0.9</v>
      </c>
      <c r="BE8" t="s">
        <v>1855</v>
      </c>
      <c r="BF8">
        <f t="shared" ref="BF8:BG23" si="2">AU23</f>
        <v>267.89999999999998</v>
      </c>
      <c r="BG8">
        <f t="shared" si="2"/>
        <v>10</v>
      </c>
      <c r="BH8" t="s">
        <v>1855</v>
      </c>
    </row>
    <row r="9" spans="1:60">
      <c r="A9" t="s">
        <v>1861</v>
      </c>
      <c r="B9" t="s">
        <v>1852</v>
      </c>
      <c r="C9">
        <v>700</v>
      </c>
      <c r="D9" t="s">
        <v>1853</v>
      </c>
      <c r="E9">
        <v>102</v>
      </c>
      <c r="F9">
        <v>10</v>
      </c>
      <c r="G9">
        <v>51</v>
      </c>
      <c r="H9">
        <v>86</v>
      </c>
      <c r="I9">
        <v>386.3</v>
      </c>
      <c r="J9">
        <v>1.2E-2</v>
      </c>
      <c r="K9">
        <v>10</v>
      </c>
      <c r="L9">
        <v>3555.6</v>
      </c>
      <c r="M9">
        <v>2553.4</v>
      </c>
      <c r="N9">
        <v>3350.9</v>
      </c>
      <c r="O9">
        <v>1.0114000000000001</v>
      </c>
      <c r="P9">
        <v>1.0004999999999999</v>
      </c>
      <c r="Q9">
        <v>0.98809999999999998</v>
      </c>
      <c r="R9">
        <v>1.0999999999999999E-2</v>
      </c>
      <c r="S9">
        <v>1.2E-2</v>
      </c>
      <c r="T9">
        <v>2.3E-2</v>
      </c>
      <c r="U9">
        <v>1.024</v>
      </c>
      <c r="V9">
        <v>7.3999999999999996E-2</v>
      </c>
      <c r="W9">
        <v>8.9999999999999993E-3</v>
      </c>
      <c r="X9">
        <v>2.2970000000000002</v>
      </c>
      <c r="Y9">
        <v>0.60699999999999998</v>
      </c>
      <c r="Z9">
        <v>0.99929999999999997</v>
      </c>
      <c r="AA9">
        <v>1.0002</v>
      </c>
      <c r="AB9">
        <v>1.0004999999999999</v>
      </c>
      <c r="AC9">
        <v>-1.1599999999999999E-2</v>
      </c>
      <c r="AD9">
        <v>8.9999999999999998E-4</v>
      </c>
      <c r="AE9">
        <v>5.0000000000000001E-4</v>
      </c>
      <c r="AF9">
        <v>237</v>
      </c>
      <c r="AG9">
        <v>9</v>
      </c>
      <c r="AH9">
        <v>1.4</v>
      </c>
      <c r="AI9">
        <v>40</v>
      </c>
      <c r="AJ9">
        <v>81</v>
      </c>
      <c r="AK9">
        <v>1.2</v>
      </c>
      <c r="AL9">
        <v>146</v>
      </c>
      <c r="AM9">
        <v>3</v>
      </c>
      <c r="AN9">
        <v>0.5</v>
      </c>
      <c r="AO9">
        <v>134</v>
      </c>
      <c r="AP9">
        <v>2</v>
      </c>
      <c r="AQ9">
        <v>23</v>
      </c>
      <c r="AR9">
        <v>85</v>
      </c>
      <c r="AS9">
        <v>224</v>
      </c>
      <c r="AT9">
        <v>4</v>
      </c>
      <c r="AU9">
        <v>222.4</v>
      </c>
      <c r="AV9">
        <v>6.5</v>
      </c>
      <c r="AW9">
        <v>132.1</v>
      </c>
      <c r="AX9">
        <v>5.7</v>
      </c>
      <c r="AY9">
        <f>180+176.6</f>
        <v>356.6</v>
      </c>
      <c r="AZ9">
        <f>--81.4</f>
        <v>81.400000000000006</v>
      </c>
      <c r="BC9">
        <f t="shared" si="0"/>
        <v>45.599999999999994</v>
      </c>
      <c r="BD9">
        <f t="shared" si="0"/>
        <v>5.6</v>
      </c>
      <c r="BE9" t="s">
        <v>1855</v>
      </c>
      <c r="BF9">
        <f t="shared" si="2"/>
        <v>221</v>
      </c>
      <c r="BG9">
        <f t="shared" si="2"/>
        <v>2.1</v>
      </c>
      <c r="BH9" t="s">
        <v>1855</v>
      </c>
    </row>
    <row r="10" spans="1:60">
      <c r="A10" t="s">
        <v>1862</v>
      </c>
      <c r="BC10">
        <f t="shared" si="0"/>
        <v>222.4</v>
      </c>
      <c r="BD10">
        <f t="shared" si="0"/>
        <v>6.5</v>
      </c>
      <c r="BE10" t="s">
        <v>1855</v>
      </c>
      <c r="BF10">
        <f t="shared" si="2"/>
        <v>8.0999999999999943</v>
      </c>
      <c r="BG10">
        <f t="shared" si="2"/>
        <v>49.4</v>
      </c>
      <c r="BH10" t="s">
        <v>1855</v>
      </c>
    </row>
    <row r="11" spans="1:60">
      <c r="A11" t="s">
        <v>1863</v>
      </c>
      <c r="B11" t="s">
        <v>1852</v>
      </c>
      <c r="C11">
        <v>700</v>
      </c>
      <c r="D11" t="s">
        <v>1853</v>
      </c>
      <c r="E11">
        <v>40</v>
      </c>
      <c r="F11">
        <v>5</v>
      </c>
      <c r="G11">
        <v>50</v>
      </c>
      <c r="H11">
        <v>85</v>
      </c>
      <c r="I11">
        <v>114.8</v>
      </c>
      <c r="J11">
        <v>1.7000000000000001E-2</v>
      </c>
      <c r="K11">
        <v>10</v>
      </c>
      <c r="L11">
        <v>1205.5999999999999</v>
      </c>
      <c r="M11">
        <v>170.4</v>
      </c>
      <c r="N11">
        <v>1338.7</v>
      </c>
      <c r="O11">
        <v>1.0065999999999999</v>
      </c>
      <c r="P11">
        <v>1.0022</v>
      </c>
      <c r="Q11">
        <v>0.99119999999999997</v>
      </c>
      <c r="R11">
        <v>4.0000000000000001E-3</v>
      </c>
      <c r="S11">
        <v>1.0999999999999999E-2</v>
      </c>
      <c r="T11">
        <v>1.6E-2</v>
      </c>
      <c r="U11">
        <v>1.016</v>
      </c>
      <c r="V11">
        <v>0.42899999999999999</v>
      </c>
      <c r="W11">
        <v>6.0000000000000001E-3</v>
      </c>
      <c r="X11">
        <v>1.53</v>
      </c>
      <c r="Y11">
        <v>0.33500000000000002</v>
      </c>
      <c r="Z11">
        <v>1.0036</v>
      </c>
      <c r="AA11">
        <v>0.99160000000000004</v>
      </c>
      <c r="AB11">
        <v>1.0047999999999999</v>
      </c>
      <c r="AC11">
        <v>1.6000000000000001E-3</v>
      </c>
      <c r="AD11">
        <v>-1.6000000000000001E-3</v>
      </c>
      <c r="AE11">
        <v>-2E-3</v>
      </c>
      <c r="AF11">
        <v>240</v>
      </c>
      <c r="AG11">
        <v>51</v>
      </c>
      <c r="AH11">
        <v>4.0999999999999996</v>
      </c>
      <c r="AI11">
        <v>38</v>
      </c>
      <c r="AJ11">
        <v>37</v>
      </c>
      <c r="AK11">
        <v>1.9</v>
      </c>
      <c r="AL11">
        <v>136</v>
      </c>
      <c r="AM11">
        <v>11</v>
      </c>
      <c r="AN11">
        <v>1.4</v>
      </c>
      <c r="AO11">
        <v>194</v>
      </c>
      <c r="AP11">
        <v>52</v>
      </c>
      <c r="AQ11">
        <v>2</v>
      </c>
      <c r="AR11">
        <v>37</v>
      </c>
      <c r="AS11">
        <v>96</v>
      </c>
      <c r="AT11">
        <v>6</v>
      </c>
      <c r="AU11">
        <v>179</v>
      </c>
      <c r="AV11">
        <v>10.199999999999999</v>
      </c>
      <c r="AW11">
        <v>86.8</v>
      </c>
      <c r="AX11">
        <v>12.6</v>
      </c>
      <c r="AY11">
        <f>180+126</f>
        <v>306</v>
      </c>
      <c r="AZ11">
        <f>--73.5</f>
        <v>73.5</v>
      </c>
      <c r="BC11">
        <f t="shared" ref="BC11:BD15" si="3">AU11</f>
        <v>179</v>
      </c>
      <c r="BD11">
        <f t="shared" si="3"/>
        <v>10.199999999999999</v>
      </c>
      <c r="BE11" t="s">
        <v>1855</v>
      </c>
      <c r="BF11">
        <f t="shared" si="2"/>
        <v>14.900000000000006</v>
      </c>
      <c r="BG11">
        <f t="shared" si="2"/>
        <v>53.7</v>
      </c>
      <c r="BH11" t="s">
        <v>1855</v>
      </c>
    </row>
    <row r="12" spans="1:60">
      <c r="A12" t="s">
        <v>1864</v>
      </c>
      <c r="B12" t="s">
        <v>1852</v>
      </c>
      <c r="C12">
        <v>700</v>
      </c>
      <c r="D12" t="s">
        <v>1853</v>
      </c>
      <c r="E12">
        <v>85</v>
      </c>
      <c r="F12">
        <v>10</v>
      </c>
      <c r="G12">
        <v>50</v>
      </c>
      <c r="H12">
        <v>85</v>
      </c>
      <c r="I12">
        <v>172.4</v>
      </c>
      <c r="J12">
        <v>1.6E-2</v>
      </c>
      <c r="K12">
        <v>10</v>
      </c>
      <c r="L12">
        <v>1524.4</v>
      </c>
      <c r="M12">
        <v>51.9</v>
      </c>
      <c r="N12">
        <v>2359.5</v>
      </c>
      <c r="O12">
        <v>1.0062</v>
      </c>
      <c r="P12">
        <v>1.004</v>
      </c>
      <c r="Q12">
        <v>0.98980000000000001</v>
      </c>
      <c r="R12">
        <v>2E-3</v>
      </c>
      <c r="S12">
        <v>1.4E-2</v>
      </c>
      <c r="T12">
        <v>1.7999999999999999E-2</v>
      </c>
      <c r="U12">
        <v>1.018</v>
      </c>
      <c r="V12">
        <v>0.72899999999999998</v>
      </c>
      <c r="W12">
        <v>7.0000000000000001E-3</v>
      </c>
      <c r="X12">
        <v>1.625</v>
      </c>
      <c r="Y12">
        <v>0.14699999999999999</v>
      </c>
      <c r="Z12">
        <v>1.0036</v>
      </c>
      <c r="AA12">
        <v>0.99199999999999999</v>
      </c>
      <c r="AB12">
        <v>1.0044999999999999</v>
      </c>
      <c r="AC12">
        <v>-5.4000000000000003E-3</v>
      </c>
      <c r="AD12">
        <v>2.0000000000000001E-4</v>
      </c>
      <c r="AE12">
        <v>-8.9999999999999998E-4</v>
      </c>
      <c r="AF12">
        <v>249</v>
      </c>
      <c r="AG12">
        <v>32</v>
      </c>
      <c r="AH12">
        <v>8.1</v>
      </c>
      <c r="AI12">
        <v>48</v>
      </c>
      <c r="AJ12">
        <v>56</v>
      </c>
      <c r="AK12">
        <v>1.4</v>
      </c>
      <c r="AL12">
        <v>153</v>
      </c>
      <c r="AM12">
        <v>10</v>
      </c>
      <c r="AN12">
        <v>1.2</v>
      </c>
      <c r="AO12">
        <v>159</v>
      </c>
      <c r="AP12">
        <v>29</v>
      </c>
      <c r="AQ12">
        <v>338</v>
      </c>
      <c r="AR12">
        <v>61</v>
      </c>
      <c r="AS12">
        <v>69</v>
      </c>
      <c r="AT12">
        <v>1</v>
      </c>
      <c r="AU12">
        <v>197.9</v>
      </c>
      <c r="AV12">
        <v>18.7</v>
      </c>
      <c r="AW12">
        <v>105.9</v>
      </c>
      <c r="AX12">
        <v>5.3</v>
      </c>
      <c r="AY12">
        <v>0.8</v>
      </c>
      <c r="AZ12">
        <f>--70.2</f>
        <v>70.2</v>
      </c>
      <c r="BC12">
        <f t="shared" si="3"/>
        <v>197.9</v>
      </c>
      <c r="BD12">
        <f t="shared" si="3"/>
        <v>18.7</v>
      </c>
      <c r="BE12" t="s">
        <v>1855</v>
      </c>
      <c r="BF12">
        <f t="shared" si="2"/>
        <v>55.800000000000011</v>
      </c>
      <c r="BG12">
        <f t="shared" si="2"/>
        <v>3.1</v>
      </c>
      <c r="BH12" t="s">
        <v>1855</v>
      </c>
    </row>
    <row r="13" spans="1:60">
      <c r="A13" t="s">
        <v>1865</v>
      </c>
      <c r="B13" t="s">
        <v>1852</v>
      </c>
      <c r="C13">
        <v>700</v>
      </c>
      <c r="D13" t="s">
        <v>1853</v>
      </c>
      <c r="E13">
        <v>85</v>
      </c>
      <c r="F13">
        <v>10</v>
      </c>
      <c r="G13">
        <v>50</v>
      </c>
      <c r="H13">
        <v>85</v>
      </c>
      <c r="I13">
        <v>165.5</v>
      </c>
      <c r="J13">
        <v>2.1999999999999999E-2</v>
      </c>
      <c r="K13">
        <v>10</v>
      </c>
      <c r="L13">
        <v>704.3</v>
      </c>
      <c r="M13">
        <v>33.1</v>
      </c>
      <c r="N13">
        <v>1032.3</v>
      </c>
      <c r="O13">
        <v>1.0057</v>
      </c>
      <c r="P13">
        <v>1.0033000000000001</v>
      </c>
      <c r="Q13">
        <v>0.99099999999999999</v>
      </c>
      <c r="R13">
        <v>2E-3</v>
      </c>
      <c r="S13">
        <v>1.2E-2</v>
      </c>
      <c r="T13">
        <v>1.6E-2</v>
      </c>
      <c r="U13">
        <v>1.016</v>
      </c>
      <c r="V13">
        <v>0.68</v>
      </c>
      <c r="W13">
        <v>6.0000000000000001E-3</v>
      </c>
      <c r="X13">
        <v>1.4670000000000001</v>
      </c>
      <c r="Y13">
        <v>0.17499999999999999</v>
      </c>
      <c r="Z13">
        <v>1.0043</v>
      </c>
      <c r="AA13">
        <v>0.9919</v>
      </c>
      <c r="AB13">
        <v>1.0038</v>
      </c>
      <c r="AC13">
        <v>-3.5999999999999999E-3</v>
      </c>
      <c r="AD13">
        <v>0</v>
      </c>
      <c r="AE13">
        <v>-1E-3</v>
      </c>
      <c r="AF13">
        <v>255</v>
      </c>
      <c r="AG13">
        <v>29</v>
      </c>
      <c r="AH13">
        <v>10.4</v>
      </c>
      <c r="AI13">
        <v>51</v>
      </c>
      <c r="AJ13">
        <v>59</v>
      </c>
      <c r="AK13">
        <v>2.2000000000000002</v>
      </c>
      <c r="AL13">
        <v>160</v>
      </c>
      <c r="AM13">
        <v>11</v>
      </c>
      <c r="AN13">
        <v>1.8</v>
      </c>
      <c r="AO13">
        <v>165</v>
      </c>
      <c r="AP13">
        <v>27</v>
      </c>
      <c r="AQ13">
        <v>343</v>
      </c>
      <c r="AR13">
        <v>63</v>
      </c>
      <c r="AS13">
        <v>75</v>
      </c>
      <c r="AT13">
        <v>1</v>
      </c>
      <c r="AU13">
        <v>200.4</v>
      </c>
      <c r="AV13">
        <v>24.2</v>
      </c>
      <c r="AW13">
        <v>108.9</v>
      </c>
      <c r="AX13">
        <v>3.8</v>
      </c>
      <c r="AY13">
        <v>11.1</v>
      </c>
      <c r="AZ13">
        <f>--64.5</f>
        <v>64.5</v>
      </c>
      <c r="BC13">
        <f t="shared" si="3"/>
        <v>200.4</v>
      </c>
      <c r="BD13">
        <f t="shared" si="3"/>
        <v>24.2</v>
      </c>
      <c r="BE13" t="s">
        <v>1855</v>
      </c>
      <c r="BF13">
        <f t="shared" si="2"/>
        <v>250.2</v>
      </c>
      <c r="BG13">
        <f t="shared" si="2"/>
        <v>11.6</v>
      </c>
      <c r="BH13" t="s">
        <v>1855</v>
      </c>
    </row>
    <row r="14" spans="1:60">
      <c r="A14" t="s">
        <v>1866</v>
      </c>
      <c r="B14" t="s">
        <v>1852</v>
      </c>
      <c r="C14">
        <v>700</v>
      </c>
      <c r="D14" t="s">
        <v>1853</v>
      </c>
      <c r="E14">
        <v>338</v>
      </c>
      <c r="F14">
        <v>34</v>
      </c>
      <c r="G14">
        <v>50</v>
      </c>
      <c r="H14">
        <v>85</v>
      </c>
      <c r="I14">
        <v>209.2</v>
      </c>
      <c r="J14">
        <v>1.2E-2</v>
      </c>
      <c r="K14">
        <v>10</v>
      </c>
      <c r="L14">
        <v>204.9</v>
      </c>
      <c r="M14">
        <v>48.8</v>
      </c>
      <c r="N14">
        <v>210.8</v>
      </c>
      <c r="O14">
        <v>1.002</v>
      </c>
      <c r="P14">
        <v>1.0004999999999999</v>
      </c>
      <c r="Q14">
        <v>0.99750000000000005</v>
      </c>
      <c r="R14">
        <v>2E-3</v>
      </c>
      <c r="S14">
        <v>3.0000000000000001E-3</v>
      </c>
      <c r="T14">
        <v>5.0000000000000001E-3</v>
      </c>
      <c r="U14">
        <v>1.0049999999999999</v>
      </c>
      <c r="V14">
        <v>0.32900000000000001</v>
      </c>
      <c r="W14">
        <v>2E-3</v>
      </c>
      <c r="X14">
        <v>0.45300000000000001</v>
      </c>
      <c r="Y14">
        <v>0.40400000000000003</v>
      </c>
      <c r="Z14">
        <v>0.99750000000000005</v>
      </c>
      <c r="AA14">
        <v>1.0006999999999999</v>
      </c>
      <c r="AB14">
        <v>1.0018</v>
      </c>
      <c r="AC14">
        <v>-2.0000000000000001E-4</v>
      </c>
      <c r="AD14">
        <v>-5.0000000000000001E-4</v>
      </c>
      <c r="AE14">
        <v>4.0000000000000002E-4</v>
      </c>
      <c r="AF14">
        <v>254</v>
      </c>
      <c r="AG14">
        <v>35</v>
      </c>
      <c r="AH14">
        <v>9.1999999999999993</v>
      </c>
      <c r="AI14">
        <v>69</v>
      </c>
      <c r="AJ14">
        <v>55</v>
      </c>
      <c r="AK14">
        <v>5.0999999999999996</v>
      </c>
      <c r="AL14">
        <v>163</v>
      </c>
      <c r="AM14">
        <v>2</v>
      </c>
      <c r="AN14">
        <v>3.4</v>
      </c>
      <c r="AO14">
        <v>284</v>
      </c>
      <c r="AP14">
        <v>69</v>
      </c>
      <c r="AQ14">
        <v>91</v>
      </c>
      <c r="AR14">
        <v>21</v>
      </c>
      <c r="AS14">
        <v>183</v>
      </c>
      <c r="AT14">
        <v>4</v>
      </c>
      <c r="AU14">
        <v>194.1</v>
      </c>
      <c r="AV14">
        <v>22.5</v>
      </c>
      <c r="AW14">
        <f>180+106.9</f>
        <v>286.89999999999998</v>
      </c>
      <c r="AX14">
        <f>--6.6</f>
        <v>6.6</v>
      </c>
      <c r="AY14">
        <f>213.6-180</f>
        <v>33.599999999999994</v>
      </c>
      <c r="AZ14">
        <f>--66</f>
        <v>66</v>
      </c>
      <c r="BC14">
        <f t="shared" si="3"/>
        <v>194.1</v>
      </c>
      <c r="BD14">
        <f t="shared" si="3"/>
        <v>22.5</v>
      </c>
      <c r="BE14" t="s">
        <v>1855</v>
      </c>
      <c r="BF14">
        <f t="shared" si="2"/>
        <v>250.8</v>
      </c>
      <c r="BG14">
        <f t="shared" si="2"/>
        <v>6.2</v>
      </c>
      <c r="BH14" t="s">
        <v>1855</v>
      </c>
    </row>
    <row r="15" spans="1:60">
      <c r="A15" t="s">
        <v>1867</v>
      </c>
      <c r="B15" t="s">
        <v>1852</v>
      </c>
      <c r="C15">
        <v>700</v>
      </c>
      <c r="D15" t="s">
        <v>1853</v>
      </c>
      <c r="E15">
        <v>338</v>
      </c>
      <c r="F15">
        <v>34</v>
      </c>
      <c r="G15">
        <v>50</v>
      </c>
      <c r="H15">
        <v>85</v>
      </c>
      <c r="I15">
        <v>266.8</v>
      </c>
      <c r="J15">
        <v>8.0000000000000002E-3</v>
      </c>
      <c r="K15">
        <v>10</v>
      </c>
      <c r="L15">
        <v>1121.2</v>
      </c>
      <c r="M15">
        <v>578.70000000000005</v>
      </c>
      <c r="N15">
        <v>882.5</v>
      </c>
      <c r="O15">
        <v>1.0033000000000001</v>
      </c>
      <c r="P15">
        <v>1.0002</v>
      </c>
      <c r="Q15">
        <v>0.99639999999999995</v>
      </c>
      <c r="R15">
        <v>3.0000000000000001E-3</v>
      </c>
      <c r="S15">
        <v>4.0000000000000001E-3</v>
      </c>
      <c r="T15">
        <v>7.0000000000000001E-3</v>
      </c>
      <c r="U15">
        <v>1.0069999999999999</v>
      </c>
      <c r="V15">
        <v>0.107</v>
      </c>
      <c r="W15">
        <v>3.0000000000000001E-3</v>
      </c>
      <c r="X15">
        <v>0.68799999999999994</v>
      </c>
      <c r="Y15">
        <v>0.57599999999999996</v>
      </c>
      <c r="Z15">
        <v>0.99670000000000003</v>
      </c>
      <c r="AA15">
        <v>1.0002</v>
      </c>
      <c r="AB15">
        <v>1.0029999999999999</v>
      </c>
      <c r="AC15">
        <v>-2.0000000000000001E-4</v>
      </c>
      <c r="AD15">
        <v>-2.0000000000000001E-4</v>
      </c>
      <c r="AE15">
        <v>-1.4E-3</v>
      </c>
      <c r="AF15">
        <v>228</v>
      </c>
      <c r="AG15">
        <v>52</v>
      </c>
      <c r="AH15">
        <v>3.1</v>
      </c>
      <c r="AI15">
        <v>72</v>
      </c>
      <c r="AJ15">
        <v>36</v>
      </c>
      <c r="AK15">
        <v>2.5</v>
      </c>
      <c r="AL15">
        <v>334</v>
      </c>
      <c r="AM15">
        <v>12</v>
      </c>
      <c r="AN15">
        <v>1.4</v>
      </c>
      <c r="AO15">
        <v>192</v>
      </c>
      <c r="AP15">
        <v>78</v>
      </c>
      <c r="AQ15">
        <v>93</v>
      </c>
      <c r="AR15">
        <v>2</v>
      </c>
      <c r="AS15">
        <v>3</v>
      </c>
      <c r="AT15">
        <v>12</v>
      </c>
      <c r="AU15">
        <v>178</v>
      </c>
      <c r="AV15">
        <v>2.7</v>
      </c>
      <c r="AW15">
        <f>180+89.2</f>
        <v>269.2</v>
      </c>
      <c r="AX15">
        <f>--14.5</f>
        <v>14.5</v>
      </c>
      <c r="AY15">
        <v>77.7</v>
      </c>
      <c r="AZ15">
        <v>74.5</v>
      </c>
      <c r="BC15">
        <f t="shared" si="3"/>
        <v>178</v>
      </c>
      <c r="BD15">
        <f t="shared" si="3"/>
        <v>2.7</v>
      </c>
      <c r="BE15" t="s">
        <v>1855</v>
      </c>
      <c r="BF15">
        <f t="shared" si="2"/>
        <v>205.5</v>
      </c>
      <c r="BG15">
        <f t="shared" si="2"/>
        <v>7.8</v>
      </c>
      <c r="BH15" t="s">
        <v>1855</v>
      </c>
    </row>
    <row r="16" spans="1:60" s="497" customFormat="1">
      <c r="A16" s="497" t="s">
        <v>1868</v>
      </c>
      <c r="BC16" s="7">
        <f>AY2</f>
        <v>271.39999999999998</v>
      </c>
      <c r="BD16" s="7">
        <f>AZ2</f>
        <v>37.700000000000003</v>
      </c>
      <c r="BE16" s="7" t="s">
        <v>1869</v>
      </c>
      <c r="BF16">
        <f t="shared" si="2"/>
        <v>213.9</v>
      </c>
      <c r="BG16">
        <f t="shared" si="2"/>
        <v>8.3000000000000007</v>
      </c>
      <c r="BH16" t="s">
        <v>1855</v>
      </c>
    </row>
    <row r="17" spans="1:60">
      <c r="A17" t="s">
        <v>1870</v>
      </c>
      <c r="B17" t="s">
        <v>1852</v>
      </c>
      <c r="C17">
        <v>700</v>
      </c>
      <c r="D17" t="s">
        <v>1853</v>
      </c>
      <c r="E17">
        <v>58</v>
      </c>
      <c r="F17">
        <v>90</v>
      </c>
      <c r="G17">
        <v>50</v>
      </c>
      <c r="H17">
        <v>85</v>
      </c>
      <c r="I17">
        <v>489.8</v>
      </c>
      <c r="J17">
        <v>8.9999999999999993E-3</v>
      </c>
      <c r="K17">
        <v>10</v>
      </c>
      <c r="L17">
        <v>20468.599999999999</v>
      </c>
      <c r="M17">
        <v>1872.8</v>
      </c>
      <c r="N17">
        <v>28303</v>
      </c>
      <c r="O17">
        <v>1.0125999999999999</v>
      </c>
      <c r="P17">
        <v>1.0061</v>
      </c>
      <c r="Q17">
        <v>0.98129999999999995</v>
      </c>
      <c r="R17">
        <v>6.0000000000000001E-3</v>
      </c>
      <c r="S17">
        <v>2.5000000000000001E-2</v>
      </c>
      <c r="T17">
        <v>3.3000000000000002E-2</v>
      </c>
      <c r="U17">
        <v>1.034</v>
      </c>
      <c r="V17">
        <v>0.59199999999999997</v>
      </c>
      <c r="W17">
        <v>1.2999999999999999E-2</v>
      </c>
      <c r="X17">
        <v>3.0880000000000001</v>
      </c>
      <c r="Y17">
        <v>0.23</v>
      </c>
      <c r="Z17">
        <v>1.0122</v>
      </c>
      <c r="AA17">
        <v>1.0061</v>
      </c>
      <c r="AB17">
        <v>0.98170000000000002</v>
      </c>
      <c r="AC17">
        <v>-1.4E-3</v>
      </c>
      <c r="AD17">
        <v>2.5999999999999999E-3</v>
      </c>
      <c r="AE17">
        <v>1.9E-3</v>
      </c>
      <c r="AF17">
        <v>236</v>
      </c>
      <c r="AG17">
        <v>11</v>
      </c>
      <c r="AH17">
        <v>1.7</v>
      </c>
      <c r="AI17">
        <v>26</v>
      </c>
      <c r="AJ17">
        <v>77</v>
      </c>
      <c r="AK17">
        <v>0.4</v>
      </c>
      <c r="AL17">
        <v>144</v>
      </c>
      <c r="AM17">
        <v>6</v>
      </c>
      <c r="AN17">
        <v>0.4</v>
      </c>
      <c r="AO17">
        <v>349</v>
      </c>
      <c r="AP17">
        <v>2</v>
      </c>
      <c r="AQ17">
        <v>79</v>
      </c>
      <c r="AR17">
        <v>7</v>
      </c>
      <c r="AS17">
        <v>239</v>
      </c>
      <c r="AT17">
        <v>83</v>
      </c>
      <c r="AU17">
        <v>219.5</v>
      </c>
      <c r="AV17">
        <v>6.8</v>
      </c>
      <c r="AW17">
        <v>128</v>
      </c>
      <c r="AX17">
        <v>10.1</v>
      </c>
      <c r="AY17">
        <f>180+160</f>
        <v>340</v>
      </c>
      <c r="AZ17">
        <f>--78.3</f>
        <v>78.3</v>
      </c>
      <c r="BC17" s="7">
        <f t="shared" ref="BC17:BD23" si="4">AY3</f>
        <v>197.2</v>
      </c>
      <c r="BD17" s="7">
        <f t="shared" si="4"/>
        <v>6.4</v>
      </c>
      <c r="BE17" s="7" t="s">
        <v>1869</v>
      </c>
      <c r="BF17">
        <f t="shared" si="2"/>
        <v>208.6</v>
      </c>
      <c r="BG17">
        <f t="shared" si="2"/>
        <v>7.9</v>
      </c>
      <c r="BH17" t="s">
        <v>1855</v>
      </c>
    </row>
    <row r="18" spans="1:60">
      <c r="A18" t="s">
        <v>1871</v>
      </c>
      <c r="B18" t="s">
        <v>1852</v>
      </c>
      <c r="C18">
        <v>700</v>
      </c>
      <c r="D18" t="s">
        <v>1853</v>
      </c>
      <c r="E18">
        <v>50</v>
      </c>
      <c r="F18">
        <v>90</v>
      </c>
      <c r="G18">
        <v>50</v>
      </c>
      <c r="H18">
        <v>85</v>
      </c>
      <c r="I18">
        <v>219.4</v>
      </c>
      <c r="J18">
        <v>1.4999999999999999E-2</v>
      </c>
      <c r="K18">
        <v>10</v>
      </c>
      <c r="L18">
        <v>44217.599999999999</v>
      </c>
      <c r="M18">
        <v>1339.4</v>
      </c>
      <c r="N18">
        <v>68227.899999999994</v>
      </c>
      <c r="O18">
        <v>1.0291999999999999</v>
      </c>
      <c r="P18">
        <v>1.0194000000000001</v>
      </c>
      <c r="Q18">
        <v>0.95140000000000002</v>
      </c>
      <c r="R18">
        <v>0.01</v>
      </c>
      <c r="S18">
        <v>6.9000000000000006E-2</v>
      </c>
      <c r="T18">
        <v>8.5999999999999993E-2</v>
      </c>
      <c r="U18">
        <v>1.089</v>
      </c>
      <c r="V18">
        <v>0.755</v>
      </c>
      <c r="W18">
        <v>3.5000000000000003E-2</v>
      </c>
      <c r="X18">
        <v>7.556</v>
      </c>
      <c r="Y18">
        <v>0.13500000000000001</v>
      </c>
      <c r="Z18">
        <v>1.0283</v>
      </c>
      <c r="AA18">
        <v>1.0198</v>
      </c>
      <c r="AB18">
        <v>0.95189999999999997</v>
      </c>
      <c r="AC18">
        <v>-2.8E-3</v>
      </c>
      <c r="AD18">
        <v>5.5999999999999999E-3</v>
      </c>
      <c r="AE18">
        <v>-5.0000000000000001E-4</v>
      </c>
      <c r="AF18">
        <v>232</v>
      </c>
      <c r="AG18">
        <v>17</v>
      </c>
      <c r="AH18">
        <v>1.9</v>
      </c>
      <c r="AI18">
        <v>36</v>
      </c>
      <c r="AJ18">
        <v>72</v>
      </c>
      <c r="AK18">
        <v>0.3</v>
      </c>
      <c r="AL18">
        <v>140</v>
      </c>
      <c r="AM18">
        <v>5</v>
      </c>
      <c r="AN18">
        <v>0.2</v>
      </c>
      <c r="AO18">
        <v>163</v>
      </c>
      <c r="AP18">
        <v>2</v>
      </c>
      <c r="AQ18">
        <v>72</v>
      </c>
      <c r="AR18">
        <v>4</v>
      </c>
      <c r="AS18">
        <v>273</v>
      </c>
      <c r="AT18">
        <v>85</v>
      </c>
      <c r="AU18">
        <v>213.2</v>
      </c>
      <c r="AV18">
        <v>3.4</v>
      </c>
      <c r="AW18">
        <v>122.3</v>
      </c>
      <c r="AX18">
        <v>9.1</v>
      </c>
      <c r="AY18">
        <f>180+140</f>
        <v>320</v>
      </c>
      <c r="AZ18">
        <f>--80</f>
        <v>80</v>
      </c>
      <c r="BC18" s="7">
        <f t="shared" si="4"/>
        <v>261</v>
      </c>
      <c r="BD18" s="7">
        <f t="shared" si="4"/>
        <v>36.700000000000003</v>
      </c>
      <c r="BE18" s="7" t="s">
        <v>1869</v>
      </c>
      <c r="BF18">
        <f t="shared" si="2"/>
        <v>220.7</v>
      </c>
      <c r="BG18">
        <f t="shared" si="2"/>
        <v>16.7</v>
      </c>
      <c r="BH18" t="s">
        <v>1855</v>
      </c>
    </row>
    <row r="19" spans="1:60">
      <c r="A19" t="s">
        <v>1872</v>
      </c>
      <c r="B19" t="s">
        <v>1852</v>
      </c>
      <c r="C19">
        <v>700</v>
      </c>
      <c r="D19" t="s">
        <v>1853</v>
      </c>
      <c r="E19">
        <v>50</v>
      </c>
      <c r="F19">
        <v>90</v>
      </c>
      <c r="G19">
        <v>50</v>
      </c>
      <c r="H19">
        <v>85</v>
      </c>
      <c r="I19">
        <v>224.6</v>
      </c>
      <c r="J19">
        <v>1.4999999999999999E-2</v>
      </c>
      <c r="K19">
        <v>10</v>
      </c>
      <c r="L19">
        <v>51289.2</v>
      </c>
      <c r="M19">
        <v>1275.9000000000001</v>
      </c>
      <c r="N19">
        <v>77553.3</v>
      </c>
      <c r="O19">
        <v>1.0306999999999999</v>
      </c>
      <c r="P19">
        <v>1.0207999999999999</v>
      </c>
      <c r="Q19">
        <v>0.94850000000000001</v>
      </c>
      <c r="R19">
        <v>0.01</v>
      </c>
      <c r="S19">
        <v>7.2999999999999995E-2</v>
      </c>
      <c r="T19">
        <v>9.0999999999999998E-2</v>
      </c>
      <c r="U19">
        <v>1.095</v>
      </c>
      <c r="V19">
        <v>0.76700000000000002</v>
      </c>
      <c r="W19">
        <v>3.6999999999999998E-2</v>
      </c>
      <c r="X19">
        <v>7.9740000000000002</v>
      </c>
      <c r="Y19">
        <v>0.129</v>
      </c>
      <c r="Z19">
        <v>1.0288999999999999</v>
      </c>
      <c r="AA19">
        <v>1.0221</v>
      </c>
      <c r="AB19">
        <v>0.94899999999999995</v>
      </c>
      <c r="AC19">
        <v>-3.8E-3</v>
      </c>
      <c r="AD19">
        <v>6.0000000000000001E-3</v>
      </c>
      <c r="AE19">
        <v>-5.9999999999999995E-4</v>
      </c>
      <c r="AF19">
        <v>232</v>
      </c>
      <c r="AG19">
        <v>25</v>
      </c>
      <c r="AH19">
        <v>1.7</v>
      </c>
      <c r="AI19">
        <v>40</v>
      </c>
      <c r="AJ19">
        <v>65</v>
      </c>
      <c r="AK19">
        <v>0.3</v>
      </c>
      <c r="AL19">
        <v>140</v>
      </c>
      <c r="AM19">
        <v>5</v>
      </c>
      <c r="AN19">
        <v>0.2</v>
      </c>
      <c r="AO19">
        <v>155</v>
      </c>
      <c r="AP19">
        <v>2</v>
      </c>
      <c r="AQ19">
        <v>65</v>
      </c>
      <c r="AR19">
        <v>4</v>
      </c>
      <c r="AS19">
        <v>273</v>
      </c>
      <c r="AT19">
        <v>85</v>
      </c>
      <c r="AU19">
        <v>205.2</v>
      </c>
      <c r="AV19">
        <v>3.9</v>
      </c>
      <c r="AW19">
        <v>115.1</v>
      </c>
      <c r="AX19">
        <v>8.6999999999999993</v>
      </c>
      <c r="AY19">
        <f>180+140</f>
        <v>320</v>
      </c>
      <c r="AZ19">
        <f>--80</f>
        <v>80</v>
      </c>
      <c r="BC19" s="7">
        <f t="shared" si="4"/>
        <v>231</v>
      </c>
      <c r="BD19" s="7">
        <f t="shared" si="4"/>
        <v>1</v>
      </c>
      <c r="BE19" s="7" t="s">
        <v>1869</v>
      </c>
      <c r="BF19">
        <f t="shared" si="2"/>
        <v>235.6</v>
      </c>
      <c r="BG19">
        <f t="shared" si="2"/>
        <v>17</v>
      </c>
      <c r="BH19" t="s">
        <v>1855</v>
      </c>
    </row>
    <row r="20" spans="1:60">
      <c r="A20" t="s">
        <v>1873</v>
      </c>
      <c r="B20" t="s">
        <v>1852</v>
      </c>
      <c r="C20">
        <v>700</v>
      </c>
      <c r="D20" t="s">
        <v>1853</v>
      </c>
      <c r="E20">
        <v>50</v>
      </c>
      <c r="F20">
        <v>78</v>
      </c>
      <c r="G20">
        <v>50</v>
      </c>
      <c r="H20">
        <v>85</v>
      </c>
      <c r="I20">
        <v>314.2</v>
      </c>
      <c r="J20">
        <v>8.9999999999999993E-3</v>
      </c>
      <c r="K20">
        <v>10</v>
      </c>
      <c r="L20">
        <v>1298.2</v>
      </c>
      <c r="M20">
        <v>1173.4000000000001</v>
      </c>
      <c r="N20">
        <v>413.9</v>
      </c>
      <c r="O20">
        <v>1.0048999999999999</v>
      </c>
      <c r="P20">
        <v>0.99909999999999999</v>
      </c>
      <c r="Q20">
        <v>0.996</v>
      </c>
      <c r="R20">
        <v>6.0000000000000001E-3</v>
      </c>
      <c r="S20">
        <v>3.0000000000000001E-3</v>
      </c>
      <c r="T20">
        <v>8.9999999999999993E-3</v>
      </c>
      <c r="U20">
        <v>1.0089999999999999</v>
      </c>
      <c r="V20">
        <v>-0.29499999999999998</v>
      </c>
      <c r="W20">
        <v>4.0000000000000001E-3</v>
      </c>
      <c r="X20">
        <v>0.88</v>
      </c>
      <c r="Y20">
        <v>0.95899999999999996</v>
      </c>
      <c r="Z20">
        <v>1.0025999999999999</v>
      </c>
      <c r="AA20">
        <v>1.0005999999999999</v>
      </c>
      <c r="AB20">
        <v>0.99680000000000002</v>
      </c>
      <c r="AC20">
        <v>-2.3E-3</v>
      </c>
      <c r="AD20">
        <v>1.2999999999999999E-3</v>
      </c>
      <c r="AE20">
        <v>-2.0999999999999999E-3</v>
      </c>
      <c r="AF20">
        <v>243</v>
      </c>
      <c r="AG20">
        <v>35</v>
      </c>
      <c r="AH20">
        <v>1.6</v>
      </c>
      <c r="AI20">
        <v>70</v>
      </c>
      <c r="AJ20">
        <v>55</v>
      </c>
      <c r="AK20">
        <v>3.4</v>
      </c>
      <c r="AL20">
        <v>335</v>
      </c>
      <c r="AM20">
        <v>4</v>
      </c>
      <c r="AN20">
        <v>1.2</v>
      </c>
      <c r="AO20">
        <v>147</v>
      </c>
      <c r="AP20">
        <v>17</v>
      </c>
      <c r="AQ20">
        <v>238</v>
      </c>
      <c r="AR20">
        <v>1</v>
      </c>
      <c r="AS20">
        <v>332</v>
      </c>
      <c r="AT20">
        <v>73</v>
      </c>
      <c r="AU20">
        <v>195.2</v>
      </c>
      <c r="AV20">
        <v>13.5</v>
      </c>
      <c r="AW20">
        <f>180+107.1</f>
        <v>287.10000000000002</v>
      </c>
      <c r="AX20">
        <f>--7.1</f>
        <v>7.1</v>
      </c>
      <c r="AY20">
        <v>46.8</v>
      </c>
      <c r="AZ20">
        <v>75</v>
      </c>
      <c r="BC20" s="7">
        <f t="shared" si="4"/>
        <v>336.3</v>
      </c>
      <c r="BD20" s="7">
        <f t="shared" si="4"/>
        <v>71.3</v>
      </c>
      <c r="BE20" s="7" t="s">
        <v>1869</v>
      </c>
      <c r="BF20">
        <f t="shared" si="2"/>
        <v>207.7</v>
      </c>
      <c r="BG20">
        <f t="shared" si="2"/>
        <v>64.099999999999994</v>
      </c>
      <c r="BH20" t="s">
        <v>1855</v>
      </c>
    </row>
    <row r="21" spans="1:60">
      <c r="A21" t="s">
        <v>1874</v>
      </c>
      <c r="B21" t="s">
        <v>1852</v>
      </c>
      <c r="C21">
        <v>700</v>
      </c>
      <c r="D21" t="s">
        <v>1853</v>
      </c>
      <c r="E21">
        <v>50</v>
      </c>
      <c r="F21">
        <v>78</v>
      </c>
      <c r="G21">
        <v>50</v>
      </c>
      <c r="H21">
        <v>85</v>
      </c>
      <c r="I21">
        <v>381</v>
      </c>
      <c r="J21">
        <v>5.0000000000000001E-3</v>
      </c>
      <c r="K21">
        <v>10</v>
      </c>
      <c r="L21">
        <v>2718.4</v>
      </c>
      <c r="M21">
        <v>1404.8</v>
      </c>
      <c r="N21">
        <v>3168.8</v>
      </c>
      <c r="O21">
        <v>1.0041</v>
      </c>
      <c r="P21">
        <v>1.0005999999999999</v>
      </c>
      <c r="Q21">
        <v>0.99529999999999996</v>
      </c>
      <c r="R21">
        <v>4.0000000000000001E-3</v>
      </c>
      <c r="S21">
        <v>5.0000000000000001E-3</v>
      </c>
      <c r="T21">
        <v>8.9999999999999993E-3</v>
      </c>
      <c r="U21">
        <v>1.0089999999999999</v>
      </c>
      <c r="V21">
        <v>0.20200000000000001</v>
      </c>
      <c r="W21">
        <v>4.0000000000000001E-3</v>
      </c>
      <c r="X21">
        <v>0.88400000000000001</v>
      </c>
      <c r="Y21">
        <v>0.5</v>
      </c>
      <c r="Z21">
        <v>1</v>
      </c>
      <c r="AA21">
        <v>0.99939999999999996</v>
      </c>
      <c r="AB21">
        <v>1.0005999999999999</v>
      </c>
      <c r="AC21">
        <v>-4.4000000000000003E-3</v>
      </c>
      <c r="AD21">
        <v>0</v>
      </c>
      <c r="AE21">
        <v>-4.0000000000000002E-4</v>
      </c>
      <c r="AF21">
        <v>226</v>
      </c>
      <c r="AG21">
        <v>43</v>
      </c>
      <c r="AH21">
        <v>1.9</v>
      </c>
      <c r="AI21">
        <v>322</v>
      </c>
      <c r="AJ21">
        <v>6</v>
      </c>
      <c r="AK21">
        <v>1.3</v>
      </c>
      <c r="AL21">
        <v>59</v>
      </c>
      <c r="AM21">
        <v>46</v>
      </c>
      <c r="AN21">
        <v>0.6</v>
      </c>
      <c r="AO21">
        <v>137</v>
      </c>
      <c r="AP21">
        <v>5</v>
      </c>
      <c r="AQ21">
        <v>291</v>
      </c>
      <c r="AR21">
        <v>84</v>
      </c>
      <c r="AS21">
        <v>47</v>
      </c>
      <c r="AT21">
        <v>3</v>
      </c>
      <c r="AU21">
        <v>186.9</v>
      </c>
      <c r="AV21">
        <v>0.5</v>
      </c>
      <c r="AW21">
        <v>76.8</v>
      </c>
      <c r="AX21">
        <v>87.8</v>
      </c>
      <c r="AY21">
        <f>180+96.6</f>
        <v>276.60000000000002</v>
      </c>
      <c r="AZ21">
        <f>--2.6</f>
        <v>2.6</v>
      </c>
      <c r="BC21" s="7">
        <f t="shared" si="4"/>
        <v>327.3</v>
      </c>
      <c r="BD21" s="7">
        <f t="shared" si="4"/>
        <v>80.900000000000006</v>
      </c>
      <c r="BE21" s="7" t="s">
        <v>1869</v>
      </c>
      <c r="BF21">
        <f t="shared" si="2"/>
        <v>359.9</v>
      </c>
      <c r="BG21">
        <f t="shared" si="2"/>
        <v>1.4</v>
      </c>
      <c r="BH21" t="s">
        <v>1855</v>
      </c>
    </row>
    <row r="22" spans="1:60">
      <c r="A22" t="s">
        <v>1862</v>
      </c>
      <c r="BC22" s="7">
        <f t="shared" si="4"/>
        <v>208.9</v>
      </c>
      <c r="BD22" s="7">
        <f t="shared" si="4"/>
        <v>84.6</v>
      </c>
      <c r="BE22" s="7" t="s">
        <v>1869</v>
      </c>
      <c r="BF22">
        <f t="shared" si="2"/>
        <v>233.7</v>
      </c>
      <c r="BG22">
        <f t="shared" si="2"/>
        <v>4.5</v>
      </c>
      <c r="BH22" t="s">
        <v>1855</v>
      </c>
    </row>
    <row r="23" spans="1:60">
      <c r="A23" t="s">
        <v>1875</v>
      </c>
      <c r="B23" t="s">
        <v>1852</v>
      </c>
      <c r="C23">
        <v>700</v>
      </c>
      <c r="D23" t="s">
        <v>1853</v>
      </c>
      <c r="E23">
        <v>69</v>
      </c>
      <c r="F23">
        <v>69</v>
      </c>
      <c r="G23">
        <v>63</v>
      </c>
      <c r="H23">
        <v>83</v>
      </c>
      <c r="I23">
        <v>196.1</v>
      </c>
      <c r="J23">
        <v>0.01</v>
      </c>
      <c r="K23">
        <v>10</v>
      </c>
      <c r="L23">
        <v>13153.9</v>
      </c>
      <c r="M23">
        <v>172.1</v>
      </c>
      <c r="N23">
        <v>20862.400000000001</v>
      </c>
      <c r="O23">
        <v>1.01</v>
      </c>
      <c r="P23">
        <v>1.0076000000000001</v>
      </c>
      <c r="Q23">
        <v>0.98240000000000005</v>
      </c>
      <c r="R23">
        <v>2E-3</v>
      </c>
      <c r="S23">
        <v>2.5000000000000001E-2</v>
      </c>
      <c r="T23">
        <v>3.1E-2</v>
      </c>
      <c r="U23">
        <v>1.0309999999999999</v>
      </c>
      <c r="V23">
        <v>0.82599999999999996</v>
      </c>
      <c r="W23">
        <v>1.2E-2</v>
      </c>
      <c r="X23">
        <v>2.7360000000000002</v>
      </c>
      <c r="Y23">
        <v>9.1999999999999998E-2</v>
      </c>
      <c r="Z23">
        <v>1.0096000000000001</v>
      </c>
      <c r="AA23">
        <v>1.0078</v>
      </c>
      <c r="AB23">
        <v>0.98250000000000004</v>
      </c>
      <c r="AC23">
        <v>8.9999999999999998E-4</v>
      </c>
      <c r="AD23">
        <v>1.9E-3</v>
      </c>
      <c r="AE23">
        <v>-2.0000000000000001E-4</v>
      </c>
      <c r="AF23">
        <v>77</v>
      </c>
      <c r="AG23">
        <v>23</v>
      </c>
      <c r="AH23">
        <v>4.7</v>
      </c>
      <c r="AI23">
        <v>216</v>
      </c>
      <c r="AJ23">
        <v>61</v>
      </c>
      <c r="AK23">
        <v>0.5</v>
      </c>
      <c r="AL23">
        <v>340</v>
      </c>
      <c r="AM23">
        <v>17</v>
      </c>
      <c r="AN23">
        <v>0.5</v>
      </c>
      <c r="AO23">
        <v>24</v>
      </c>
      <c r="AP23">
        <v>1</v>
      </c>
      <c r="AQ23">
        <v>114</v>
      </c>
      <c r="AR23">
        <v>4</v>
      </c>
      <c r="AS23">
        <v>278</v>
      </c>
      <c r="AT23">
        <v>86</v>
      </c>
      <c r="AU23">
        <f>180+87.9</f>
        <v>267.89999999999998</v>
      </c>
      <c r="AV23">
        <f>--10</f>
        <v>10</v>
      </c>
      <c r="AW23">
        <f>180+178.8</f>
        <v>358.8</v>
      </c>
      <c r="AX23">
        <f>--6.4</f>
        <v>6.4</v>
      </c>
      <c r="AY23">
        <v>119.3</v>
      </c>
      <c r="AZ23">
        <v>77.900000000000006</v>
      </c>
      <c r="BC23" s="7">
        <f t="shared" si="4"/>
        <v>356.6</v>
      </c>
      <c r="BD23" s="7">
        <f t="shared" si="4"/>
        <v>81.400000000000006</v>
      </c>
      <c r="BE23" s="7" t="s">
        <v>1869</v>
      </c>
      <c r="BF23">
        <f t="shared" si="2"/>
        <v>226.3</v>
      </c>
      <c r="BG23">
        <f t="shared" si="2"/>
        <v>8.3000000000000007</v>
      </c>
      <c r="BH23" t="s">
        <v>1855</v>
      </c>
    </row>
    <row r="24" spans="1:60">
      <c r="A24" t="s">
        <v>1876</v>
      </c>
      <c r="B24" t="s">
        <v>1852</v>
      </c>
      <c r="C24">
        <v>700</v>
      </c>
      <c r="D24" t="s">
        <v>1853</v>
      </c>
      <c r="E24">
        <v>64</v>
      </c>
      <c r="F24">
        <v>80</v>
      </c>
      <c r="G24">
        <v>64</v>
      </c>
      <c r="H24">
        <v>80</v>
      </c>
      <c r="I24">
        <v>366.4</v>
      </c>
      <c r="J24">
        <v>8.0000000000000002E-3</v>
      </c>
      <c r="K24">
        <v>10</v>
      </c>
      <c r="L24">
        <v>200223.5</v>
      </c>
      <c r="M24">
        <v>413.4</v>
      </c>
      <c r="N24">
        <v>338916.2</v>
      </c>
      <c r="O24">
        <v>1.0296000000000001</v>
      </c>
      <c r="P24">
        <v>1.0265</v>
      </c>
      <c r="Q24">
        <v>0.94389999999999996</v>
      </c>
      <c r="R24">
        <v>3.0000000000000001E-3</v>
      </c>
      <c r="S24">
        <v>8.4000000000000005E-2</v>
      </c>
      <c r="T24">
        <v>9.9000000000000005E-2</v>
      </c>
      <c r="U24">
        <v>1.1040000000000001</v>
      </c>
      <c r="V24">
        <v>0.93100000000000005</v>
      </c>
      <c r="W24">
        <v>0.04</v>
      </c>
      <c r="X24">
        <v>8.3160000000000007</v>
      </c>
      <c r="Y24">
        <v>3.5999999999999997E-2</v>
      </c>
      <c r="Z24">
        <v>1.0290999999999999</v>
      </c>
      <c r="AA24">
        <v>1.0265</v>
      </c>
      <c r="AB24">
        <v>0.94440000000000002</v>
      </c>
      <c r="AC24">
        <v>-1.1000000000000001E-3</v>
      </c>
      <c r="AD24">
        <v>6.3E-3</v>
      </c>
      <c r="AE24">
        <v>-5.0000000000000001E-4</v>
      </c>
      <c r="AF24">
        <v>242</v>
      </c>
      <c r="AG24">
        <v>23</v>
      </c>
      <c r="AH24">
        <v>3.1</v>
      </c>
      <c r="AI24">
        <v>77</v>
      </c>
      <c r="AJ24">
        <v>66</v>
      </c>
      <c r="AK24">
        <v>0.1</v>
      </c>
      <c r="AL24">
        <v>334</v>
      </c>
      <c r="AM24">
        <v>6</v>
      </c>
      <c r="AN24">
        <v>0.1</v>
      </c>
      <c r="AO24">
        <v>157</v>
      </c>
      <c r="AP24">
        <v>2</v>
      </c>
      <c r="AQ24">
        <v>67</v>
      </c>
      <c r="AR24">
        <v>4</v>
      </c>
      <c r="AS24">
        <v>274</v>
      </c>
      <c r="AT24">
        <v>86</v>
      </c>
      <c r="AU24">
        <v>221</v>
      </c>
      <c r="AV24">
        <v>2.1</v>
      </c>
      <c r="AW24">
        <v>130.6</v>
      </c>
      <c r="AX24">
        <v>3.9</v>
      </c>
      <c r="AY24">
        <v>334</v>
      </c>
      <c r="AZ24">
        <v>86</v>
      </c>
      <c r="BC24" s="7">
        <f t="shared" ref="BC24:BD28" si="5">AY11</f>
        <v>306</v>
      </c>
      <c r="BD24" s="7">
        <f t="shared" si="5"/>
        <v>73.5</v>
      </c>
      <c r="BE24" s="7" t="s">
        <v>1869</v>
      </c>
      <c r="BF24">
        <f t="shared" ref="BF24:BG39" si="6">AU39</f>
        <v>217.2</v>
      </c>
      <c r="BG24">
        <f t="shared" si="6"/>
        <v>9.3000000000000007</v>
      </c>
      <c r="BH24" t="s">
        <v>1855</v>
      </c>
    </row>
    <row r="25" spans="1:60">
      <c r="A25" t="s">
        <v>1877</v>
      </c>
      <c r="B25" t="s">
        <v>1852</v>
      </c>
      <c r="C25">
        <v>700</v>
      </c>
      <c r="D25" t="s">
        <v>1853</v>
      </c>
      <c r="E25">
        <v>346</v>
      </c>
      <c r="F25">
        <v>27</v>
      </c>
      <c r="G25">
        <v>67</v>
      </c>
      <c r="H25">
        <v>75</v>
      </c>
      <c r="I25">
        <v>312.7</v>
      </c>
      <c r="J25">
        <v>5.0999999999999997E-2</v>
      </c>
      <c r="K25">
        <v>10</v>
      </c>
      <c r="L25">
        <v>3446.4</v>
      </c>
      <c r="M25">
        <v>33.4</v>
      </c>
      <c r="N25">
        <v>5565.5</v>
      </c>
      <c r="O25">
        <v>1.0250999999999999</v>
      </c>
      <c r="P25">
        <v>1.0198</v>
      </c>
      <c r="Q25">
        <v>0.95499999999999996</v>
      </c>
      <c r="R25">
        <v>5.0000000000000001E-3</v>
      </c>
      <c r="S25">
        <v>6.6000000000000003E-2</v>
      </c>
      <c r="T25">
        <v>7.9000000000000001E-2</v>
      </c>
      <c r="U25">
        <v>1.0820000000000001</v>
      </c>
      <c r="V25">
        <v>0.85399999999999998</v>
      </c>
      <c r="W25">
        <v>3.2000000000000001E-2</v>
      </c>
      <c r="X25">
        <v>6.84</v>
      </c>
      <c r="Y25">
        <v>7.9000000000000001E-2</v>
      </c>
      <c r="Z25">
        <v>1.024</v>
      </c>
      <c r="AA25">
        <v>0.95630000000000004</v>
      </c>
      <c r="AB25">
        <v>1.0197000000000001</v>
      </c>
      <c r="AC25">
        <v>5.0000000000000001E-3</v>
      </c>
      <c r="AD25">
        <v>7.6E-3</v>
      </c>
      <c r="AE25">
        <v>-2.5000000000000001E-3</v>
      </c>
      <c r="AF25">
        <v>178</v>
      </c>
      <c r="AG25">
        <v>20</v>
      </c>
      <c r="AH25">
        <v>10.8</v>
      </c>
      <c r="AI25">
        <v>309</v>
      </c>
      <c r="AJ25">
        <v>61</v>
      </c>
      <c r="AK25">
        <v>1</v>
      </c>
      <c r="AL25">
        <v>81</v>
      </c>
      <c r="AM25">
        <v>20</v>
      </c>
      <c r="AN25">
        <v>0.9</v>
      </c>
      <c r="AO25">
        <v>181</v>
      </c>
      <c r="AP25">
        <v>23</v>
      </c>
      <c r="AQ25">
        <v>20</v>
      </c>
      <c r="AR25">
        <v>66</v>
      </c>
      <c r="AS25">
        <v>274</v>
      </c>
      <c r="AT25">
        <v>7</v>
      </c>
      <c r="AU25">
        <f>188.1-180</f>
        <v>8.0999999999999943</v>
      </c>
      <c r="AV25">
        <f>--49.4</f>
        <v>49.4</v>
      </c>
      <c r="AW25">
        <v>174.2</v>
      </c>
      <c r="AX25">
        <v>39.799999999999997</v>
      </c>
      <c r="AY25">
        <f>180+90.1</f>
        <v>270.10000000000002</v>
      </c>
      <c r="AZ25">
        <f>--7.5</f>
        <v>7.5</v>
      </c>
      <c r="BC25" s="7">
        <f t="shared" si="5"/>
        <v>0.8</v>
      </c>
      <c r="BD25" s="7">
        <f t="shared" si="5"/>
        <v>70.2</v>
      </c>
      <c r="BE25" s="7" t="s">
        <v>1869</v>
      </c>
      <c r="BF25">
        <f t="shared" si="6"/>
        <v>87.3</v>
      </c>
      <c r="BG25">
        <f t="shared" si="6"/>
        <v>1.4</v>
      </c>
      <c r="BH25" t="s">
        <v>1855</v>
      </c>
    </row>
    <row r="26" spans="1:60">
      <c r="A26" t="s">
        <v>1878</v>
      </c>
      <c r="B26" t="s">
        <v>1852</v>
      </c>
      <c r="C26">
        <v>700</v>
      </c>
      <c r="D26" t="s">
        <v>1853</v>
      </c>
      <c r="E26">
        <v>346</v>
      </c>
      <c r="F26">
        <v>27</v>
      </c>
      <c r="G26">
        <v>67</v>
      </c>
      <c r="H26">
        <v>75</v>
      </c>
      <c r="I26">
        <v>308.60000000000002</v>
      </c>
      <c r="J26">
        <v>1.7000000000000001E-2</v>
      </c>
      <c r="K26">
        <v>10</v>
      </c>
      <c r="L26">
        <v>31028.5</v>
      </c>
      <c r="M26">
        <v>199.3</v>
      </c>
      <c r="N26">
        <v>52254.400000000001</v>
      </c>
      <c r="O26">
        <v>1.0246</v>
      </c>
      <c r="P26">
        <v>1.0204</v>
      </c>
      <c r="Q26">
        <v>0.95499999999999996</v>
      </c>
      <c r="R26">
        <v>4.0000000000000001E-3</v>
      </c>
      <c r="S26">
        <v>6.6000000000000003E-2</v>
      </c>
      <c r="T26">
        <v>7.9000000000000001E-2</v>
      </c>
      <c r="U26">
        <v>1.0820000000000001</v>
      </c>
      <c r="V26">
        <v>0.88400000000000001</v>
      </c>
      <c r="W26">
        <v>3.2000000000000001E-2</v>
      </c>
      <c r="X26">
        <v>6.7889999999999997</v>
      </c>
      <c r="Y26">
        <v>6.2E-2</v>
      </c>
      <c r="Z26">
        <v>1.0230999999999999</v>
      </c>
      <c r="AA26">
        <v>0.95709999999999995</v>
      </c>
      <c r="AB26">
        <v>1.0198</v>
      </c>
      <c r="AC26">
        <v>8.6E-3</v>
      </c>
      <c r="AD26">
        <v>7.7999999999999996E-3</v>
      </c>
      <c r="AE26">
        <v>-2.3E-3</v>
      </c>
      <c r="AF26">
        <v>179</v>
      </c>
      <c r="AG26">
        <v>14</v>
      </c>
      <c r="AH26">
        <v>4.8</v>
      </c>
      <c r="AI26">
        <v>302</v>
      </c>
      <c r="AJ26">
        <v>65</v>
      </c>
      <c r="AK26">
        <v>0.3</v>
      </c>
      <c r="AL26">
        <v>84</v>
      </c>
      <c r="AM26">
        <v>20</v>
      </c>
      <c r="AN26">
        <v>0.3</v>
      </c>
      <c r="AO26">
        <v>185</v>
      </c>
      <c r="AP26">
        <v>18</v>
      </c>
      <c r="AQ26">
        <v>28</v>
      </c>
      <c r="AR26">
        <v>70</v>
      </c>
      <c r="AS26">
        <v>277</v>
      </c>
      <c r="AT26">
        <v>7</v>
      </c>
      <c r="AU26">
        <f>194.9-180</f>
        <v>14.900000000000006</v>
      </c>
      <c r="AV26">
        <f>--53.7</f>
        <v>53.7</v>
      </c>
      <c r="AW26">
        <v>174.1</v>
      </c>
      <c r="AX26">
        <v>34.700000000000003</v>
      </c>
      <c r="AY26">
        <f>180+91.1</f>
        <v>271.10000000000002</v>
      </c>
      <c r="AZ26">
        <f>--10.2</f>
        <v>10.199999999999999</v>
      </c>
      <c r="BC26" s="7">
        <f t="shared" si="5"/>
        <v>11.1</v>
      </c>
      <c r="BD26" s="7">
        <f t="shared" si="5"/>
        <v>64.5</v>
      </c>
      <c r="BE26" s="7" t="s">
        <v>1869</v>
      </c>
      <c r="BF26">
        <f t="shared" si="6"/>
        <v>251.9</v>
      </c>
      <c r="BG26">
        <f t="shared" si="6"/>
        <v>11.7</v>
      </c>
      <c r="BH26" t="s">
        <v>1855</v>
      </c>
    </row>
    <row r="27" spans="1:60">
      <c r="A27" t="s">
        <v>1879</v>
      </c>
      <c r="B27" t="s">
        <v>1852</v>
      </c>
      <c r="C27">
        <v>700</v>
      </c>
      <c r="D27" t="s">
        <v>1853</v>
      </c>
      <c r="E27">
        <v>325</v>
      </c>
      <c r="F27">
        <v>41</v>
      </c>
      <c r="G27">
        <v>67</v>
      </c>
      <c r="H27">
        <v>75</v>
      </c>
      <c r="I27">
        <v>406</v>
      </c>
      <c r="J27">
        <v>1.9E-2</v>
      </c>
      <c r="K27">
        <v>10</v>
      </c>
      <c r="L27">
        <v>28063.4</v>
      </c>
      <c r="M27">
        <v>117.1</v>
      </c>
      <c r="N27">
        <v>44354.1</v>
      </c>
      <c r="O27">
        <v>1.0261</v>
      </c>
      <c r="P27">
        <v>1.022</v>
      </c>
      <c r="Q27">
        <v>0.95189999999999997</v>
      </c>
      <c r="R27">
        <v>4.0000000000000001E-3</v>
      </c>
      <c r="S27">
        <v>7.0999999999999994E-2</v>
      </c>
      <c r="T27">
        <v>8.4000000000000005E-2</v>
      </c>
      <c r="U27">
        <v>1.0880000000000001</v>
      </c>
      <c r="V27">
        <v>0.89400000000000002</v>
      </c>
      <c r="W27">
        <v>3.4000000000000002E-2</v>
      </c>
      <c r="X27">
        <v>7.2240000000000002</v>
      </c>
      <c r="Y27">
        <v>5.7000000000000002E-2</v>
      </c>
      <c r="Z27">
        <v>0.95420000000000005</v>
      </c>
      <c r="AA27">
        <v>1.0214000000000001</v>
      </c>
      <c r="AB27">
        <v>1.0244</v>
      </c>
      <c r="AC27">
        <v>-1.26E-2</v>
      </c>
      <c r="AD27">
        <v>-2.0999999999999999E-3</v>
      </c>
      <c r="AE27">
        <v>-1E-4</v>
      </c>
      <c r="AF27">
        <v>241</v>
      </c>
      <c r="AG27">
        <v>10</v>
      </c>
      <c r="AH27">
        <v>4.8</v>
      </c>
      <c r="AI27">
        <v>98</v>
      </c>
      <c r="AJ27">
        <v>78</v>
      </c>
      <c r="AK27">
        <v>0.3</v>
      </c>
      <c r="AL27">
        <v>333</v>
      </c>
      <c r="AM27">
        <v>7</v>
      </c>
      <c r="AN27">
        <v>0.3</v>
      </c>
      <c r="AO27">
        <v>280</v>
      </c>
      <c r="AP27">
        <v>50</v>
      </c>
      <c r="AQ27">
        <v>101</v>
      </c>
      <c r="AR27">
        <v>40</v>
      </c>
      <c r="AS27">
        <v>10</v>
      </c>
      <c r="AT27">
        <v>0</v>
      </c>
      <c r="AU27">
        <f>235.8-180</f>
        <v>55.800000000000011</v>
      </c>
      <c r="AV27">
        <f>--3.1</f>
        <v>3.1</v>
      </c>
      <c r="AW27">
        <v>146.6</v>
      </c>
      <c r="AX27">
        <v>8.6</v>
      </c>
      <c r="AY27">
        <v>310.39999999999998</v>
      </c>
      <c r="AZ27">
        <v>81.099999999999994</v>
      </c>
      <c r="BC27" s="7">
        <f t="shared" si="5"/>
        <v>33.599999999999994</v>
      </c>
      <c r="BD27" s="7">
        <f t="shared" si="5"/>
        <v>66</v>
      </c>
      <c r="BE27" s="7" t="s">
        <v>1869</v>
      </c>
      <c r="BF27">
        <f t="shared" si="6"/>
        <v>43.5</v>
      </c>
      <c r="BG27">
        <f t="shared" si="6"/>
        <v>0.7</v>
      </c>
      <c r="BH27" t="s">
        <v>1855</v>
      </c>
    </row>
    <row r="28" spans="1:60">
      <c r="A28" t="s">
        <v>1880</v>
      </c>
      <c r="B28" t="s">
        <v>1852</v>
      </c>
      <c r="C28">
        <v>700</v>
      </c>
      <c r="D28" t="s">
        <v>1853</v>
      </c>
      <c r="E28">
        <v>22</v>
      </c>
      <c r="F28">
        <v>17</v>
      </c>
      <c r="G28">
        <v>67</v>
      </c>
      <c r="H28">
        <v>75</v>
      </c>
      <c r="I28">
        <v>352.6</v>
      </c>
      <c r="J28">
        <v>9.4E-2</v>
      </c>
      <c r="K28">
        <v>10</v>
      </c>
      <c r="L28">
        <v>1035.5</v>
      </c>
      <c r="M28">
        <v>3.7</v>
      </c>
      <c r="N28">
        <v>1955.7</v>
      </c>
      <c r="O28">
        <v>1.0278</v>
      </c>
      <c r="P28">
        <v>1.0245</v>
      </c>
      <c r="Q28">
        <v>0.94769999999999999</v>
      </c>
      <c r="R28">
        <v>3.0000000000000001E-3</v>
      </c>
      <c r="S28">
        <v>7.8E-2</v>
      </c>
      <c r="T28">
        <v>9.1999999999999998E-2</v>
      </c>
      <c r="U28">
        <v>1.0960000000000001</v>
      </c>
      <c r="V28">
        <v>0.92</v>
      </c>
      <c r="W28">
        <v>3.6999999999999998E-2</v>
      </c>
      <c r="X28">
        <v>7.7869999999999999</v>
      </c>
      <c r="Y28">
        <v>4.2000000000000003E-2</v>
      </c>
      <c r="Z28">
        <v>0.97430000000000005</v>
      </c>
      <c r="AA28">
        <v>1.0118</v>
      </c>
      <c r="AB28">
        <v>1.0139</v>
      </c>
      <c r="AC28">
        <v>2.9000000000000001E-2</v>
      </c>
      <c r="AD28">
        <v>1.2E-2</v>
      </c>
      <c r="AE28">
        <v>-2.3900000000000001E-2</v>
      </c>
      <c r="AF28">
        <v>79</v>
      </c>
      <c r="AG28">
        <v>0</v>
      </c>
      <c r="AH28">
        <v>30.3</v>
      </c>
      <c r="AI28">
        <v>171</v>
      </c>
      <c r="AJ28">
        <v>77</v>
      </c>
      <c r="AK28">
        <v>1.4</v>
      </c>
      <c r="AL28">
        <v>349</v>
      </c>
      <c r="AM28">
        <v>13</v>
      </c>
      <c r="AN28">
        <v>1.3</v>
      </c>
      <c r="AO28">
        <v>236</v>
      </c>
      <c r="AP28">
        <v>14</v>
      </c>
      <c r="AQ28">
        <v>116</v>
      </c>
      <c r="AR28">
        <v>64</v>
      </c>
      <c r="AS28">
        <v>332</v>
      </c>
      <c r="AT28">
        <v>22</v>
      </c>
      <c r="AU28">
        <f>180+70.2</f>
        <v>250.2</v>
      </c>
      <c r="AV28">
        <f>--11.6</f>
        <v>11.6</v>
      </c>
      <c r="AW28">
        <v>160.1</v>
      </c>
      <c r="AX28">
        <v>2.4</v>
      </c>
      <c r="AY28">
        <v>58.7</v>
      </c>
      <c r="AZ28">
        <v>78.2</v>
      </c>
      <c r="BC28" s="7">
        <f t="shared" si="5"/>
        <v>77.7</v>
      </c>
      <c r="BD28" s="7">
        <f t="shared" si="5"/>
        <v>74.5</v>
      </c>
      <c r="BE28" s="7" t="s">
        <v>1869</v>
      </c>
      <c r="BF28">
        <f t="shared" si="6"/>
        <v>192.8</v>
      </c>
      <c r="BG28">
        <f t="shared" si="6"/>
        <v>3.6</v>
      </c>
      <c r="BH28" t="s">
        <v>1855</v>
      </c>
    </row>
    <row r="29" spans="1:60">
      <c r="A29" t="s">
        <v>1881</v>
      </c>
      <c r="B29" t="s">
        <v>1852</v>
      </c>
      <c r="C29">
        <v>700</v>
      </c>
      <c r="D29" t="s">
        <v>1853</v>
      </c>
      <c r="E29">
        <v>22</v>
      </c>
      <c r="F29">
        <v>17</v>
      </c>
      <c r="G29">
        <v>67</v>
      </c>
      <c r="H29">
        <v>75</v>
      </c>
      <c r="I29">
        <v>354</v>
      </c>
      <c r="J29">
        <v>2.4E-2</v>
      </c>
      <c r="K29">
        <v>10</v>
      </c>
      <c r="L29">
        <v>14951.5</v>
      </c>
      <c r="M29">
        <v>8.8000000000000007</v>
      </c>
      <c r="N29">
        <v>29296.400000000001</v>
      </c>
      <c r="O29">
        <v>1.0262</v>
      </c>
      <c r="P29">
        <v>1.0248999999999999</v>
      </c>
      <c r="Q29">
        <v>0.94879999999999998</v>
      </c>
      <c r="R29">
        <v>1E-3</v>
      </c>
      <c r="S29">
        <v>7.6999999999999999E-2</v>
      </c>
      <c r="T29">
        <v>0.09</v>
      </c>
      <c r="U29">
        <v>1.0940000000000001</v>
      </c>
      <c r="V29">
        <v>0.96799999999999997</v>
      </c>
      <c r="W29">
        <v>3.5999999999999997E-2</v>
      </c>
      <c r="X29">
        <v>7.5410000000000004</v>
      </c>
      <c r="Y29">
        <v>1.7000000000000001E-2</v>
      </c>
      <c r="Z29">
        <v>0.9819</v>
      </c>
      <c r="AA29">
        <v>1.0075000000000001</v>
      </c>
      <c r="AB29">
        <v>1.0105999999999999</v>
      </c>
      <c r="AC29">
        <v>2.87E-2</v>
      </c>
      <c r="AD29">
        <v>1.6E-2</v>
      </c>
      <c r="AE29">
        <v>-2.52E-2</v>
      </c>
      <c r="AF29">
        <v>74</v>
      </c>
      <c r="AG29">
        <v>2</v>
      </c>
      <c r="AH29">
        <v>20.6</v>
      </c>
      <c r="AI29">
        <v>171</v>
      </c>
      <c r="AJ29">
        <v>74</v>
      </c>
      <c r="AK29">
        <v>0.4</v>
      </c>
      <c r="AL29">
        <v>344</v>
      </c>
      <c r="AM29">
        <v>16</v>
      </c>
      <c r="AN29">
        <v>0.3</v>
      </c>
      <c r="AO29">
        <v>231</v>
      </c>
      <c r="AP29">
        <v>12</v>
      </c>
      <c r="AQ29">
        <v>119</v>
      </c>
      <c r="AR29">
        <v>61</v>
      </c>
      <c r="AS29">
        <v>327</v>
      </c>
      <c r="AT29">
        <v>26</v>
      </c>
      <c r="AU29">
        <f>180+70.8</f>
        <v>250.8</v>
      </c>
      <c r="AV29">
        <f>--6.2</f>
        <v>6.2</v>
      </c>
      <c r="AW29">
        <v>340.8</v>
      </c>
      <c r="AX29">
        <v>0.5</v>
      </c>
      <c r="AY29">
        <v>76.400000000000006</v>
      </c>
      <c r="AZ29">
        <v>83.2</v>
      </c>
      <c r="BC29" s="7"/>
      <c r="BD29" s="7"/>
      <c r="BE29" s="7"/>
      <c r="BF29">
        <f t="shared" si="6"/>
        <v>305.10000000000002</v>
      </c>
      <c r="BG29">
        <f t="shared" si="6"/>
        <v>18</v>
      </c>
      <c r="BH29" t="s">
        <v>1855</v>
      </c>
    </row>
    <row r="30" spans="1:60">
      <c r="A30" t="s">
        <v>1882</v>
      </c>
      <c r="B30" t="s">
        <v>1852</v>
      </c>
      <c r="C30">
        <v>700</v>
      </c>
      <c r="D30" t="s">
        <v>1853</v>
      </c>
      <c r="E30">
        <v>80</v>
      </c>
      <c r="F30">
        <v>68</v>
      </c>
      <c r="G30">
        <v>67</v>
      </c>
      <c r="H30">
        <v>75</v>
      </c>
      <c r="I30">
        <v>307.8</v>
      </c>
      <c r="J30">
        <v>4.1000000000000002E-2</v>
      </c>
      <c r="K30">
        <v>10</v>
      </c>
      <c r="L30">
        <v>3213.8</v>
      </c>
      <c r="M30">
        <v>22.2</v>
      </c>
      <c r="N30">
        <v>4958.5</v>
      </c>
      <c r="O30">
        <v>1.0194000000000001</v>
      </c>
      <c r="P30">
        <v>1.0155000000000001</v>
      </c>
      <c r="Q30">
        <v>0.96509999999999996</v>
      </c>
      <c r="R30">
        <v>4.0000000000000001E-3</v>
      </c>
      <c r="S30">
        <v>5.0999999999999997E-2</v>
      </c>
      <c r="T30">
        <v>6.0999999999999999E-2</v>
      </c>
      <c r="U30">
        <v>1.0629999999999999</v>
      </c>
      <c r="V30">
        <v>0.86199999999999999</v>
      </c>
      <c r="W30">
        <v>2.5000000000000001E-2</v>
      </c>
      <c r="X30">
        <v>5.3280000000000003</v>
      </c>
      <c r="Y30">
        <v>7.2999999999999995E-2</v>
      </c>
      <c r="Z30">
        <v>1.0172000000000001</v>
      </c>
      <c r="AA30">
        <v>1.0163</v>
      </c>
      <c r="AB30">
        <v>0.96650000000000003</v>
      </c>
      <c r="AC30">
        <v>-2.3999999999999998E-3</v>
      </c>
      <c r="AD30">
        <v>7.7000000000000002E-3</v>
      </c>
      <c r="AE30">
        <v>3.3E-3</v>
      </c>
      <c r="AF30">
        <v>244</v>
      </c>
      <c r="AG30">
        <v>42</v>
      </c>
      <c r="AH30">
        <v>10.7</v>
      </c>
      <c r="AI30">
        <v>89</v>
      </c>
      <c r="AJ30">
        <v>45</v>
      </c>
      <c r="AK30">
        <v>1</v>
      </c>
      <c r="AL30">
        <v>346</v>
      </c>
      <c r="AM30">
        <v>13</v>
      </c>
      <c r="AN30">
        <v>0.9</v>
      </c>
      <c r="AO30">
        <v>135</v>
      </c>
      <c r="AP30">
        <v>3</v>
      </c>
      <c r="AQ30">
        <v>45</v>
      </c>
      <c r="AR30">
        <v>9</v>
      </c>
      <c r="AS30">
        <v>245</v>
      </c>
      <c r="AT30">
        <v>80</v>
      </c>
      <c r="AU30">
        <v>205.5</v>
      </c>
      <c r="AV30">
        <v>7.8</v>
      </c>
      <c r="AW30">
        <v>295.89999999999998</v>
      </c>
      <c r="AX30">
        <v>4.2</v>
      </c>
      <c r="AY30">
        <v>55.2</v>
      </c>
      <c r="AZ30">
        <v>81</v>
      </c>
      <c r="BF30">
        <f t="shared" si="6"/>
        <v>191.6</v>
      </c>
      <c r="BG30">
        <f t="shared" si="6"/>
        <v>13.1</v>
      </c>
      <c r="BH30" t="s">
        <v>1855</v>
      </c>
    </row>
    <row r="31" spans="1:60">
      <c r="A31" t="s">
        <v>1883</v>
      </c>
      <c r="B31" t="s">
        <v>1852</v>
      </c>
      <c r="C31">
        <v>700</v>
      </c>
      <c r="D31" t="s">
        <v>1853</v>
      </c>
      <c r="E31">
        <v>80</v>
      </c>
      <c r="F31">
        <v>68</v>
      </c>
      <c r="G31">
        <v>67</v>
      </c>
      <c r="H31">
        <v>75</v>
      </c>
      <c r="I31">
        <v>353.3</v>
      </c>
      <c r="J31">
        <v>1.7000000000000001E-2</v>
      </c>
      <c r="K31">
        <v>10</v>
      </c>
      <c r="L31">
        <v>20262</v>
      </c>
      <c r="M31">
        <v>24.4</v>
      </c>
      <c r="N31">
        <v>33063</v>
      </c>
      <c r="O31">
        <v>1.0185</v>
      </c>
      <c r="P31">
        <v>1.0168999999999999</v>
      </c>
      <c r="Q31">
        <v>0.96460000000000001</v>
      </c>
      <c r="R31">
        <v>2E-3</v>
      </c>
      <c r="S31">
        <v>5.2999999999999999E-2</v>
      </c>
      <c r="T31">
        <v>6.2E-2</v>
      </c>
      <c r="U31">
        <v>1.0640000000000001</v>
      </c>
      <c r="V31">
        <v>0.94199999999999995</v>
      </c>
      <c r="W31">
        <v>2.5000000000000001E-2</v>
      </c>
      <c r="X31">
        <v>5.2969999999999997</v>
      </c>
      <c r="Y31">
        <v>0.03</v>
      </c>
      <c r="Z31">
        <v>1.0178</v>
      </c>
      <c r="AA31">
        <v>1.0166999999999999</v>
      </c>
      <c r="AB31">
        <v>0.96550000000000002</v>
      </c>
      <c r="AC31">
        <v>-1.1000000000000001E-3</v>
      </c>
      <c r="AD31">
        <v>6.4999999999999997E-3</v>
      </c>
      <c r="AE31">
        <v>2.5999999999999999E-3</v>
      </c>
      <c r="AF31">
        <v>247</v>
      </c>
      <c r="AG31">
        <v>34</v>
      </c>
      <c r="AH31">
        <v>10.7</v>
      </c>
      <c r="AI31">
        <v>97</v>
      </c>
      <c r="AJ31">
        <v>52</v>
      </c>
      <c r="AK31">
        <v>0.4</v>
      </c>
      <c r="AL31">
        <v>347</v>
      </c>
      <c r="AM31">
        <v>15</v>
      </c>
      <c r="AN31">
        <v>0.4</v>
      </c>
      <c r="AO31">
        <v>144</v>
      </c>
      <c r="AP31">
        <v>2</v>
      </c>
      <c r="AQ31">
        <v>54</v>
      </c>
      <c r="AR31">
        <v>7</v>
      </c>
      <c r="AS31">
        <v>247</v>
      </c>
      <c r="AT31">
        <v>82</v>
      </c>
      <c r="AU31">
        <v>213.9</v>
      </c>
      <c r="AV31">
        <v>8.3000000000000007</v>
      </c>
      <c r="AW31">
        <v>304.60000000000002</v>
      </c>
      <c r="AX31">
        <v>5.4</v>
      </c>
      <c r="AY31">
        <v>68.3</v>
      </c>
      <c r="AZ31">
        <v>80.3</v>
      </c>
      <c r="BF31">
        <f t="shared" si="6"/>
        <v>257.10000000000002</v>
      </c>
      <c r="BG31">
        <f t="shared" si="6"/>
        <v>38.700000000000003</v>
      </c>
      <c r="BH31" t="s">
        <v>1855</v>
      </c>
    </row>
    <row r="32" spans="1:60">
      <c r="A32" t="s">
        <v>1884</v>
      </c>
      <c r="B32" t="s">
        <v>1852</v>
      </c>
      <c r="C32">
        <v>700</v>
      </c>
      <c r="D32" t="s">
        <v>1853</v>
      </c>
      <c r="E32">
        <v>80</v>
      </c>
      <c r="F32">
        <v>68</v>
      </c>
      <c r="G32">
        <v>67</v>
      </c>
      <c r="H32">
        <v>75</v>
      </c>
      <c r="I32">
        <v>329.8</v>
      </c>
      <c r="J32">
        <v>1.0999999999999999E-2</v>
      </c>
      <c r="K32">
        <v>10</v>
      </c>
      <c r="L32">
        <v>48662.5</v>
      </c>
      <c r="M32">
        <v>175.9</v>
      </c>
      <c r="N32">
        <v>76914.100000000006</v>
      </c>
      <c r="O32">
        <v>1.0190999999999999</v>
      </c>
      <c r="P32">
        <v>1.0163</v>
      </c>
      <c r="Q32">
        <v>0.96460000000000001</v>
      </c>
      <c r="R32">
        <v>3.0000000000000001E-3</v>
      </c>
      <c r="S32">
        <v>5.1999999999999998E-2</v>
      </c>
      <c r="T32">
        <v>6.2E-2</v>
      </c>
      <c r="U32">
        <v>1.0640000000000001</v>
      </c>
      <c r="V32">
        <v>0.89800000000000002</v>
      </c>
      <c r="W32">
        <v>2.5000000000000001E-2</v>
      </c>
      <c r="X32">
        <v>5.3520000000000003</v>
      </c>
      <c r="Y32">
        <v>5.3999999999999999E-2</v>
      </c>
      <c r="Z32">
        <v>1.0179</v>
      </c>
      <c r="AA32">
        <v>1.0173000000000001</v>
      </c>
      <c r="AB32">
        <v>0.96479999999999999</v>
      </c>
      <c r="AC32">
        <v>-1.2999999999999999E-3</v>
      </c>
      <c r="AD32">
        <v>3.5000000000000001E-3</v>
      </c>
      <c r="AE32">
        <v>-1.1000000000000001E-3</v>
      </c>
      <c r="AF32">
        <v>245</v>
      </c>
      <c r="AG32">
        <v>39</v>
      </c>
      <c r="AH32">
        <v>3.9</v>
      </c>
      <c r="AI32">
        <v>100</v>
      </c>
      <c r="AJ32">
        <v>45</v>
      </c>
      <c r="AK32">
        <v>0.3</v>
      </c>
      <c r="AL32">
        <v>351</v>
      </c>
      <c r="AM32">
        <v>18</v>
      </c>
      <c r="AN32">
        <v>0.2</v>
      </c>
      <c r="AO32">
        <v>139</v>
      </c>
      <c r="AP32">
        <v>3</v>
      </c>
      <c r="AQ32">
        <v>48</v>
      </c>
      <c r="AR32">
        <v>2</v>
      </c>
      <c r="AS32">
        <v>286</v>
      </c>
      <c r="AT32">
        <v>86</v>
      </c>
      <c r="AU32">
        <v>208.6</v>
      </c>
      <c r="AV32">
        <v>7.9</v>
      </c>
      <c r="AW32">
        <v>299.8</v>
      </c>
      <c r="AX32">
        <v>10.9</v>
      </c>
      <c r="AY32">
        <v>81.5</v>
      </c>
      <c r="AZ32">
        <v>76.2</v>
      </c>
      <c r="BF32">
        <f t="shared" si="6"/>
        <v>63</v>
      </c>
      <c r="BG32">
        <f t="shared" si="6"/>
        <v>12</v>
      </c>
      <c r="BH32" t="s">
        <v>1855</v>
      </c>
    </row>
    <row r="33" spans="1:60">
      <c r="A33" t="s">
        <v>1885</v>
      </c>
      <c r="B33" t="s">
        <v>1852</v>
      </c>
      <c r="C33">
        <v>700</v>
      </c>
      <c r="D33" t="s">
        <v>1853</v>
      </c>
      <c r="E33">
        <v>82</v>
      </c>
      <c r="F33">
        <v>75</v>
      </c>
      <c r="G33">
        <v>67</v>
      </c>
      <c r="H33">
        <v>75</v>
      </c>
      <c r="I33">
        <v>339.1</v>
      </c>
      <c r="J33">
        <v>7.0000000000000001E-3</v>
      </c>
      <c r="K33">
        <v>10</v>
      </c>
      <c r="L33">
        <v>111299.4</v>
      </c>
      <c r="M33">
        <v>672.7</v>
      </c>
      <c r="N33">
        <v>179347</v>
      </c>
      <c r="O33">
        <v>1.0185</v>
      </c>
      <c r="P33">
        <v>1.0152000000000001</v>
      </c>
      <c r="Q33">
        <v>0.96640000000000004</v>
      </c>
      <c r="R33">
        <v>3.0000000000000001E-3</v>
      </c>
      <c r="S33">
        <v>4.9000000000000002E-2</v>
      </c>
      <c r="T33">
        <v>5.8999999999999997E-2</v>
      </c>
      <c r="U33">
        <v>1.0609999999999999</v>
      </c>
      <c r="V33">
        <v>0.877</v>
      </c>
      <c r="W33">
        <v>2.4E-2</v>
      </c>
      <c r="X33">
        <v>5.1150000000000002</v>
      </c>
      <c r="Y33">
        <v>6.5000000000000002E-2</v>
      </c>
      <c r="Z33">
        <v>1.0175000000000001</v>
      </c>
      <c r="AA33">
        <v>1.0159</v>
      </c>
      <c r="AB33">
        <v>0.96660000000000001</v>
      </c>
      <c r="AC33">
        <v>-1.2999999999999999E-3</v>
      </c>
      <c r="AD33">
        <v>1.6999999999999999E-3</v>
      </c>
      <c r="AE33">
        <v>-2.8999999999999998E-3</v>
      </c>
      <c r="AF33">
        <v>258</v>
      </c>
      <c r="AG33">
        <v>29</v>
      </c>
      <c r="AH33">
        <v>2.2000000000000002</v>
      </c>
      <c r="AI33">
        <v>107</v>
      </c>
      <c r="AJ33">
        <v>58</v>
      </c>
      <c r="AK33">
        <v>0.2</v>
      </c>
      <c r="AL33">
        <v>355</v>
      </c>
      <c r="AM33">
        <v>13</v>
      </c>
      <c r="AN33">
        <v>0.2</v>
      </c>
      <c r="AO33">
        <v>151</v>
      </c>
      <c r="AP33">
        <v>4</v>
      </c>
      <c r="AQ33">
        <v>61</v>
      </c>
      <c r="AR33">
        <v>0</v>
      </c>
      <c r="AS33">
        <v>329</v>
      </c>
      <c r="AT33">
        <v>86</v>
      </c>
      <c r="AU33">
        <v>220.7</v>
      </c>
      <c r="AV33">
        <v>16.7</v>
      </c>
      <c r="AW33">
        <v>312.89999999999998</v>
      </c>
      <c r="AX33">
        <v>6.3</v>
      </c>
      <c r="AY33">
        <v>62.7</v>
      </c>
      <c r="AZ33">
        <v>72.400000000000006</v>
      </c>
      <c r="BF33">
        <f t="shared" si="6"/>
        <v>168.2</v>
      </c>
      <c r="BG33">
        <f t="shared" si="6"/>
        <v>21.6</v>
      </c>
      <c r="BH33" t="s">
        <v>1855</v>
      </c>
    </row>
    <row r="34" spans="1:60">
      <c r="A34" t="s">
        <v>1886</v>
      </c>
      <c r="B34" t="s">
        <v>1852</v>
      </c>
      <c r="C34">
        <v>700</v>
      </c>
      <c r="D34" t="s">
        <v>1853</v>
      </c>
      <c r="E34">
        <v>82</v>
      </c>
      <c r="F34">
        <v>75</v>
      </c>
      <c r="G34">
        <v>67</v>
      </c>
      <c r="H34">
        <v>75</v>
      </c>
      <c r="I34">
        <v>359.2</v>
      </c>
      <c r="J34">
        <v>6.0000000000000001E-3</v>
      </c>
      <c r="K34">
        <v>10</v>
      </c>
      <c r="L34">
        <v>132404.9</v>
      </c>
      <c r="M34">
        <v>629.5</v>
      </c>
      <c r="N34">
        <v>228149.4</v>
      </c>
      <c r="O34">
        <v>1.0183</v>
      </c>
      <c r="P34">
        <v>1.0157</v>
      </c>
      <c r="Q34">
        <v>0.96599999999999997</v>
      </c>
      <c r="R34">
        <v>3.0000000000000001E-3</v>
      </c>
      <c r="S34">
        <v>0.05</v>
      </c>
      <c r="T34">
        <v>5.8999999999999997E-2</v>
      </c>
      <c r="U34">
        <v>1.0609999999999999</v>
      </c>
      <c r="V34">
        <v>0.9</v>
      </c>
      <c r="W34">
        <v>2.4E-2</v>
      </c>
      <c r="X34">
        <v>5.1390000000000002</v>
      </c>
      <c r="Y34">
        <v>5.2999999999999999E-2</v>
      </c>
      <c r="Z34">
        <v>1.0181</v>
      </c>
      <c r="AA34">
        <v>1.0158</v>
      </c>
      <c r="AB34">
        <v>0.96609999999999996</v>
      </c>
      <c r="AC34">
        <v>-6.9999999999999999E-4</v>
      </c>
      <c r="AD34">
        <v>2.9999999999999997E-4</v>
      </c>
      <c r="AE34">
        <v>-2.3E-3</v>
      </c>
      <c r="AF34">
        <v>261</v>
      </c>
      <c r="AG34">
        <v>15</v>
      </c>
      <c r="AH34">
        <v>2.8</v>
      </c>
      <c r="AI34">
        <v>127</v>
      </c>
      <c r="AJ34">
        <v>69</v>
      </c>
      <c r="AK34">
        <v>0.2</v>
      </c>
      <c r="AL34">
        <v>355</v>
      </c>
      <c r="AM34">
        <v>15</v>
      </c>
      <c r="AN34">
        <v>0.1</v>
      </c>
      <c r="AO34">
        <v>165</v>
      </c>
      <c r="AP34">
        <v>3</v>
      </c>
      <c r="AQ34">
        <v>255</v>
      </c>
      <c r="AR34">
        <v>0</v>
      </c>
      <c r="AS34">
        <v>354</v>
      </c>
      <c r="AT34">
        <v>87</v>
      </c>
      <c r="AU34">
        <v>235.6</v>
      </c>
      <c r="AV34">
        <v>17</v>
      </c>
      <c r="AW34">
        <v>326.7</v>
      </c>
      <c r="AX34">
        <v>3.3</v>
      </c>
      <c r="AY34">
        <v>69.3</v>
      </c>
      <c r="AZ34">
        <v>72.599999999999994</v>
      </c>
      <c r="BF34">
        <f t="shared" si="6"/>
        <v>257.10000000000002</v>
      </c>
      <c r="BG34">
        <f t="shared" si="6"/>
        <v>0.9</v>
      </c>
      <c r="BH34" t="s">
        <v>1855</v>
      </c>
    </row>
    <row r="35" spans="1:60">
      <c r="A35" t="s">
        <v>1887</v>
      </c>
      <c r="B35" t="s">
        <v>1852</v>
      </c>
      <c r="C35">
        <v>700</v>
      </c>
      <c r="D35" t="s">
        <v>1853</v>
      </c>
      <c r="E35">
        <v>173</v>
      </c>
      <c r="F35">
        <v>71</v>
      </c>
      <c r="G35">
        <v>67</v>
      </c>
      <c r="H35">
        <v>75</v>
      </c>
      <c r="I35">
        <v>327.8</v>
      </c>
      <c r="J35">
        <v>0.105</v>
      </c>
      <c r="K35">
        <v>10</v>
      </c>
      <c r="L35">
        <v>599.79999999999995</v>
      </c>
      <c r="M35">
        <v>15.6</v>
      </c>
      <c r="N35">
        <v>1117.0999999999999</v>
      </c>
      <c r="O35">
        <v>1.0263</v>
      </c>
      <c r="P35">
        <v>1.0186999999999999</v>
      </c>
      <c r="Q35">
        <v>0.95499999999999996</v>
      </c>
      <c r="R35">
        <v>7.0000000000000001E-3</v>
      </c>
      <c r="S35">
        <v>6.5000000000000002E-2</v>
      </c>
      <c r="T35">
        <v>7.9000000000000001E-2</v>
      </c>
      <c r="U35">
        <v>1.0820000000000001</v>
      </c>
      <c r="V35">
        <v>0.79200000000000004</v>
      </c>
      <c r="W35">
        <v>3.2000000000000001E-2</v>
      </c>
      <c r="X35">
        <v>6.9509999999999996</v>
      </c>
      <c r="Y35">
        <v>0.113</v>
      </c>
      <c r="Z35">
        <v>0.98850000000000005</v>
      </c>
      <c r="AA35">
        <v>0.99339999999999995</v>
      </c>
      <c r="AB35">
        <v>1.0181</v>
      </c>
      <c r="AC35">
        <v>-3.44E-2</v>
      </c>
      <c r="AD35">
        <v>4.7999999999999996E-3</v>
      </c>
      <c r="AE35">
        <v>8.8999999999999999E-3</v>
      </c>
      <c r="AF35">
        <v>314</v>
      </c>
      <c r="AG35">
        <v>30</v>
      </c>
      <c r="AH35">
        <v>15.8</v>
      </c>
      <c r="AI35">
        <v>73</v>
      </c>
      <c r="AJ35">
        <v>39</v>
      </c>
      <c r="AK35">
        <v>2</v>
      </c>
      <c r="AL35">
        <v>200</v>
      </c>
      <c r="AM35">
        <v>36</v>
      </c>
      <c r="AN35">
        <v>1.5</v>
      </c>
      <c r="AO35">
        <v>316</v>
      </c>
      <c r="AP35">
        <v>20</v>
      </c>
      <c r="AQ35">
        <v>110</v>
      </c>
      <c r="AR35">
        <v>68</v>
      </c>
      <c r="AS35">
        <v>223</v>
      </c>
      <c r="AT35">
        <v>9</v>
      </c>
      <c r="AU35">
        <v>207.7</v>
      </c>
      <c r="AV35">
        <v>64.099999999999994</v>
      </c>
      <c r="AW35">
        <v>106.1</v>
      </c>
      <c r="AX35">
        <v>4.8</v>
      </c>
      <c r="AY35">
        <f>194.4-180</f>
        <v>14.400000000000006</v>
      </c>
      <c r="AZ35">
        <f>--24.8</f>
        <v>24.8</v>
      </c>
      <c r="BF35">
        <f t="shared" si="6"/>
        <v>337.4</v>
      </c>
      <c r="BG35">
        <f t="shared" si="6"/>
        <v>57.3</v>
      </c>
      <c r="BH35" t="s">
        <v>1855</v>
      </c>
    </row>
    <row r="36" spans="1:60">
      <c r="A36" t="s">
        <v>1888</v>
      </c>
      <c r="B36" t="s">
        <v>1852</v>
      </c>
      <c r="C36">
        <v>700</v>
      </c>
      <c r="D36" t="s">
        <v>1853</v>
      </c>
      <c r="E36">
        <v>320</v>
      </c>
      <c r="F36">
        <v>41</v>
      </c>
      <c r="G36">
        <v>67</v>
      </c>
      <c r="H36">
        <v>75</v>
      </c>
      <c r="I36">
        <v>342.8</v>
      </c>
      <c r="J36">
        <v>0.127</v>
      </c>
      <c r="K36">
        <v>10</v>
      </c>
      <c r="L36">
        <v>400.1</v>
      </c>
      <c r="M36">
        <v>2.2000000000000002</v>
      </c>
      <c r="N36">
        <v>668</v>
      </c>
      <c r="O36">
        <v>1.0215000000000001</v>
      </c>
      <c r="P36">
        <v>1.0182</v>
      </c>
      <c r="Q36">
        <v>0.96040000000000003</v>
      </c>
      <c r="R36">
        <v>3.0000000000000001E-3</v>
      </c>
      <c r="S36">
        <v>5.8000000000000003E-2</v>
      </c>
      <c r="T36">
        <v>6.9000000000000006E-2</v>
      </c>
      <c r="U36">
        <v>1.0720000000000001</v>
      </c>
      <c r="V36">
        <v>0.89500000000000002</v>
      </c>
      <c r="W36">
        <v>2.8000000000000001E-2</v>
      </c>
      <c r="X36">
        <v>5.9820000000000002</v>
      </c>
      <c r="Y36">
        <v>5.6000000000000001E-2</v>
      </c>
      <c r="Z36">
        <v>0.9667</v>
      </c>
      <c r="AA36">
        <v>1.0123</v>
      </c>
      <c r="AB36">
        <v>1.0210999999999999</v>
      </c>
      <c r="AC36">
        <v>-1.78E-2</v>
      </c>
      <c r="AD36">
        <v>-2.0000000000000001E-4</v>
      </c>
      <c r="AE36">
        <v>-3.3E-3</v>
      </c>
      <c r="AF36">
        <v>213</v>
      </c>
      <c r="AG36">
        <v>62</v>
      </c>
      <c r="AH36">
        <v>38.700000000000003</v>
      </c>
      <c r="AI36">
        <v>69</v>
      </c>
      <c r="AJ36">
        <v>23</v>
      </c>
      <c r="AK36">
        <v>2.6</v>
      </c>
      <c r="AL36">
        <v>333</v>
      </c>
      <c r="AM36">
        <v>15</v>
      </c>
      <c r="AN36">
        <v>2.5</v>
      </c>
      <c r="AO36">
        <v>119</v>
      </c>
      <c r="AP36">
        <v>74</v>
      </c>
      <c r="AQ36">
        <v>288</v>
      </c>
      <c r="AR36">
        <v>16</v>
      </c>
      <c r="AS36">
        <v>19</v>
      </c>
      <c r="AT36">
        <v>3</v>
      </c>
      <c r="AU36">
        <v>359.9</v>
      </c>
      <c r="AV36">
        <f>--1.4</f>
        <v>1.4</v>
      </c>
      <c r="AW36">
        <v>89.7</v>
      </c>
      <c r="AX36">
        <v>4</v>
      </c>
      <c r="AY36">
        <v>246.5</v>
      </c>
      <c r="AZ36">
        <v>86.1</v>
      </c>
      <c r="BF36">
        <f t="shared" si="6"/>
        <v>264.39999999999998</v>
      </c>
      <c r="BG36">
        <f t="shared" si="6"/>
        <v>7</v>
      </c>
      <c r="BH36" t="s">
        <v>1855</v>
      </c>
    </row>
    <row r="37" spans="1:60">
      <c r="A37" t="s">
        <v>1889</v>
      </c>
      <c r="B37" t="s">
        <v>1852</v>
      </c>
      <c r="C37">
        <v>700</v>
      </c>
      <c r="D37" t="s">
        <v>1853</v>
      </c>
      <c r="E37">
        <v>74</v>
      </c>
      <c r="F37">
        <v>78</v>
      </c>
      <c r="G37">
        <v>67</v>
      </c>
      <c r="H37">
        <v>75</v>
      </c>
      <c r="I37">
        <v>369.3</v>
      </c>
      <c r="J37">
        <v>1.4E-2</v>
      </c>
      <c r="K37">
        <v>10</v>
      </c>
      <c r="L37">
        <v>74297.5</v>
      </c>
      <c r="M37">
        <v>177.9</v>
      </c>
      <c r="N37">
        <v>130006.39999999999</v>
      </c>
      <c r="O37">
        <v>1.0306</v>
      </c>
      <c r="P37">
        <v>1.0274000000000001</v>
      </c>
      <c r="Q37">
        <v>0.94199999999999995</v>
      </c>
      <c r="R37">
        <v>3.0000000000000001E-3</v>
      </c>
      <c r="S37">
        <v>8.6999999999999994E-2</v>
      </c>
      <c r="T37">
        <v>0.10199999999999999</v>
      </c>
      <c r="U37">
        <v>1.107</v>
      </c>
      <c r="V37">
        <v>0.93</v>
      </c>
      <c r="W37">
        <v>4.1000000000000002E-2</v>
      </c>
      <c r="X37">
        <v>8.5950000000000006</v>
      </c>
      <c r="Y37">
        <v>3.6999999999999998E-2</v>
      </c>
      <c r="Z37">
        <v>1.03</v>
      </c>
      <c r="AA37">
        <v>1.0271999999999999</v>
      </c>
      <c r="AB37">
        <v>0.94279999999999997</v>
      </c>
      <c r="AC37">
        <v>-1.1999999999999999E-3</v>
      </c>
      <c r="AD37">
        <v>5.5999999999999999E-3</v>
      </c>
      <c r="AE37">
        <v>6.0000000000000001E-3</v>
      </c>
      <c r="AF37">
        <v>248</v>
      </c>
      <c r="AG37">
        <v>14</v>
      </c>
      <c r="AH37">
        <v>5.2</v>
      </c>
      <c r="AI37">
        <v>99</v>
      </c>
      <c r="AJ37">
        <v>74</v>
      </c>
      <c r="AK37">
        <v>0.2</v>
      </c>
      <c r="AL37">
        <v>340</v>
      </c>
      <c r="AM37">
        <v>8</v>
      </c>
      <c r="AN37">
        <v>0.2</v>
      </c>
      <c r="AO37">
        <v>345</v>
      </c>
      <c r="AP37">
        <v>3</v>
      </c>
      <c r="AQ37">
        <v>75</v>
      </c>
      <c r="AR37">
        <v>5</v>
      </c>
      <c r="AS37">
        <v>224</v>
      </c>
      <c r="AT37">
        <v>85</v>
      </c>
      <c r="AU37">
        <v>233.7</v>
      </c>
      <c r="AV37">
        <v>4.5</v>
      </c>
      <c r="AW37">
        <v>143.4</v>
      </c>
      <c r="AX37">
        <v>6.2</v>
      </c>
      <c r="AY37">
        <v>0.1</v>
      </c>
      <c r="AZ37">
        <v>82.4</v>
      </c>
      <c r="BF37">
        <f t="shared" si="6"/>
        <v>100.5</v>
      </c>
      <c r="BG37">
        <f t="shared" si="6"/>
        <v>8.4</v>
      </c>
      <c r="BH37" t="s">
        <v>1855</v>
      </c>
    </row>
    <row r="38" spans="1:60">
      <c r="A38" t="s">
        <v>1890</v>
      </c>
      <c r="B38" t="s">
        <v>1852</v>
      </c>
      <c r="C38">
        <v>700</v>
      </c>
      <c r="D38" t="s">
        <v>1853</v>
      </c>
      <c r="E38">
        <v>74</v>
      </c>
      <c r="F38">
        <v>78</v>
      </c>
      <c r="G38">
        <v>67</v>
      </c>
      <c r="H38">
        <v>75</v>
      </c>
      <c r="I38">
        <v>358.2</v>
      </c>
      <c r="J38">
        <v>2.3E-2</v>
      </c>
      <c r="K38">
        <v>10</v>
      </c>
      <c r="L38">
        <v>23757.3</v>
      </c>
      <c r="M38">
        <v>61.5</v>
      </c>
      <c r="N38">
        <v>40134.699999999997</v>
      </c>
      <c r="O38">
        <v>1.0287999999999999</v>
      </c>
      <c r="P38">
        <v>1.0255000000000001</v>
      </c>
      <c r="Q38">
        <v>0.94569999999999999</v>
      </c>
      <c r="R38">
        <v>3.0000000000000001E-3</v>
      </c>
      <c r="S38">
        <v>8.1000000000000003E-2</v>
      </c>
      <c r="T38">
        <v>9.5000000000000001E-2</v>
      </c>
      <c r="U38">
        <v>1.1000000000000001</v>
      </c>
      <c r="V38">
        <v>0.92400000000000004</v>
      </c>
      <c r="W38">
        <v>3.7999999999999999E-2</v>
      </c>
      <c r="X38">
        <v>8.077</v>
      </c>
      <c r="Y38">
        <v>4.1000000000000002E-2</v>
      </c>
      <c r="Z38">
        <v>1.0283</v>
      </c>
      <c r="AA38">
        <v>1.0254000000000001</v>
      </c>
      <c r="AB38">
        <v>0.94630000000000003</v>
      </c>
      <c r="AC38">
        <v>-1.2999999999999999E-3</v>
      </c>
      <c r="AD38">
        <v>6.8999999999999999E-3</v>
      </c>
      <c r="AE38">
        <v>1.4E-3</v>
      </c>
      <c r="AF38">
        <v>250</v>
      </c>
      <c r="AG38">
        <v>22</v>
      </c>
      <c r="AH38">
        <v>8.1</v>
      </c>
      <c r="AI38">
        <v>90</v>
      </c>
      <c r="AJ38">
        <v>67</v>
      </c>
      <c r="AK38">
        <v>0.4</v>
      </c>
      <c r="AL38">
        <v>343</v>
      </c>
      <c r="AM38">
        <v>7</v>
      </c>
      <c r="AN38">
        <v>0.4</v>
      </c>
      <c r="AO38">
        <v>158</v>
      </c>
      <c r="AP38">
        <v>1</v>
      </c>
      <c r="AQ38">
        <v>68</v>
      </c>
      <c r="AR38">
        <v>5</v>
      </c>
      <c r="AS38">
        <v>258</v>
      </c>
      <c r="AT38">
        <v>85</v>
      </c>
      <c r="AU38">
        <v>226.3</v>
      </c>
      <c r="AV38">
        <v>8.3000000000000007</v>
      </c>
      <c r="AW38">
        <v>135.80000000000001</v>
      </c>
      <c r="AX38">
        <v>5.2</v>
      </c>
      <c r="AY38">
        <v>14</v>
      </c>
      <c r="AZ38">
        <v>80.099999999999994</v>
      </c>
      <c r="BF38">
        <f t="shared" si="6"/>
        <v>225.1</v>
      </c>
      <c r="BG38">
        <f t="shared" si="6"/>
        <v>2.8</v>
      </c>
      <c r="BH38" t="s">
        <v>1855</v>
      </c>
    </row>
    <row r="39" spans="1:60">
      <c r="A39" t="s">
        <v>1891</v>
      </c>
      <c r="B39" t="s">
        <v>1852</v>
      </c>
      <c r="C39">
        <v>700</v>
      </c>
      <c r="D39" t="s">
        <v>1853</v>
      </c>
      <c r="E39">
        <v>74</v>
      </c>
      <c r="F39">
        <v>78</v>
      </c>
      <c r="G39">
        <v>67</v>
      </c>
      <c r="H39">
        <v>75</v>
      </c>
      <c r="I39">
        <v>385.1</v>
      </c>
      <c r="J39">
        <v>1.6E-2</v>
      </c>
      <c r="K39">
        <v>10</v>
      </c>
      <c r="L39">
        <v>38673.199999999997</v>
      </c>
      <c r="M39">
        <v>46.3</v>
      </c>
      <c r="N39">
        <v>63895.3</v>
      </c>
      <c r="O39">
        <v>1.0250999999999999</v>
      </c>
      <c r="P39">
        <v>1.0229999999999999</v>
      </c>
      <c r="Q39">
        <v>0.95199999999999996</v>
      </c>
      <c r="R39">
        <v>2E-3</v>
      </c>
      <c r="S39">
        <v>7.1999999999999995E-2</v>
      </c>
      <c r="T39">
        <v>8.4000000000000005E-2</v>
      </c>
      <c r="U39">
        <v>1.0880000000000001</v>
      </c>
      <c r="V39">
        <v>0.94399999999999995</v>
      </c>
      <c r="W39">
        <v>3.4000000000000002E-2</v>
      </c>
      <c r="X39">
        <v>7.133</v>
      </c>
      <c r="Y39">
        <v>2.9000000000000001E-2</v>
      </c>
      <c r="Z39">
        <v>1.0245</v>
      </c>
      <c r="AA39">
        <v>1.0227999999999999</v>
      </c>
      <c r="AB39">
        <v>0.95269999999999999</v>
      </c>
      <c r="AC39">
        <v>-1.1000000000000001E-3</v>
      </c>
      <c r="AD39">
        <v>7.3000000000000001E-3</v>
      </c>
      <c r="AE39">
        <v>1.5E-3</v>
      </c>
      <c r="AF39">
        <v>249</v>
      </c>
      <c r="AG39">
        <v>31</v>
      </c>
      <c r="AH39">
        <v>8.1999999999999993</v>
      </c>
      <c r="AI39">
        <v>83</v>
      </c>
      <c r="AJ39">
        <v>58</v>
      </c>
      <c r="AK39">
        <v>0.3</v>
      </c>
      <c r="AL39">
        <v>343</v>
      </c>
      <c r="AM39">
        <v>6</v>
      </c>
      <c r="AN39">
        <v>0.3</v>
      </c>
      <c r="AO39">
        <v>148</v>
      </c>
      <c r="AP39">
        <v>2</v>
      </c>
      <c r="AQ39">
        <v>58</v>
      </c>
      <c r="AR39">
        <v>6</v>
      </c>
      <c r="AS39">
        <v>257</v>
      </c>
      <c r="AT39">
        <v>84</v>
      </c>
      <c r="AU39">
        <v>217.2</v>
      </c>
      <c r="AV39">
        <v>9.3000000000000007</v>
      </c>
      <c r="AW39">
        <v>126.3</v>
      </c>
      <c r="AX39">
        <v>4.5</v>
      </c>
      <c r="AY39">
        <v>10.8</v>
      </c>
      <c r="AZ39">
        <v>79.2</v>
      </c>
      <c r="BF39">
        <f t="shared" si="6"/>
        <v>86.8</v>
      </c>
      <c r="BG39">
        <f t="shared" si="6"/>
        <v>15.6</v>
      </c>
      <c r="BH39" t="s">
        <v>1855</v>
      </c>
    </row>
    <row r="40" spans="1:60">
      <c r="A40" t="s">
        <v>1892</v>
      </c>
      <c r="B40" t="s">
        <v>1852</v>
      </c>
      <c r="C40">
        <v>700</v>
      </c>
      <c r="D40" t="s">
        <v>1853</v>
      </c>
      <c r="E40">
        <v>70</v>
      </c>
      <c r="F40">
        <v>76</v>
      </c>
      <c r="G40">
        <v>67</v>
      </c>
      <c r="H40">
        <v>75</v>
      </c>
      <c r="I40">
        <v>295.39999999999998</v>
      </c>
      <c r="J40">
        <v>5.5E-2</v>
      </c>
      <c r="K40">
        <v>10</v>
      </c>
      <c r="L40">
        <v>3295.1</v>
      </c>
      <c r="M40">
        <v>29.6</v>
      </c>
      <c r="N40">
        <v>5401.6</v>
      </c>
      <c r="O40">
        <v>1.0265</v>
      </c>
      <c r="P40">
        <v>1.0212000000000001</v>
      </c>
      <c r="Q40">
        <v>0.95230000000000004</v>
      </c>
      <c r="R40">
        <v>5.0000000000000001E-3</v>
      </c>
      <c r="S40">
        <v>7.0000000000000007E-2</v>
      </c>
      <c r="T40">
        <v>8.4000000000000005E-2</v>
      </c>
      <c r="U40">
        <v>1.087</v>
      </c>
      <c r="V40">
        <v>0.86099999999999999</v>
      </c>
      <c r="W40">
        <v>3.4000000000000002E-2</v>
      </c>
      <c r="X40">
        <v>7.2290000000000001</v>
      </c>
      <c r="Y40">
        <v>7.3999999999999996E-2</v>
      </c>
      <c r="Z40">
        <v>1.0258</v>
      </c>
      <c r="AA40">
        <v>1.0204</v>
      </c>
      <c r="AB40">
        <v>0.95369999999999999</v>
      </c>
      <c r="AC40">
        <v>1.5E-3</v>
      </c>
      <c r="AD40">
        <v>9.7000000000000003E-3</v>
      </c>
      <c r="AE40">
        <v>2E-3</v>
      </c>
      <c r="AF40">
        <v>71</v>
      </c>
      <c r="AG40">
        <v>20</v>
      </c>
      <c r="AH40">
        <v>11.9</v>
      </c>
      <c r="AI40">
        <v>233</v>
      </c>
      <c r="AJ40">
        <v>69</v>
      </c>
      <c r="AK40">
        <v>1</v>
      </c>
      <c r="AL40">
        <v>339</v>
      </c>
      <c r="AM40">
        <v>6</v>
      </c>
      <c r="AN40">
        <v>0.9</v>
      </c>
      <c r="AO40">
        <v>20</v>
      </c>
      <c r="AP40">
        <v>4</v>
      </c>
      <c r="AQ40">
        <v>111</v>
      </c>
      <c r="AR40">
        <v>7</v>
      </c>
      <c r="AS40">
        <v>260</v>
      </c>
      <c r="AT40">
        <v>82</v>
      </c>
      <c r="AU40">
        <v>87.3</v>
      </c>
      <c r="AV40">
        <v>1.4</v>
      </c>
      <c r="AW40">
        <v>177.6</v>
      </c>
      <c r="AX40">
        <v>9.1</v>
      </c>
      <c r="AY40">
        <v>349.5</v>
      </c>
      <c r="AZ40">
        <v>80.8</v>
      </c>
      <c r="BF40">
        <f t="shared" ref="BF40:BG41" si="7">AU55</f>
        <v>47.5</v>
      </c>
      <c r="BG40">
        <f t="shared" si="7"/>
        <v>9.4</v>
      </c>
      <c r="BH40" t="s">
        <v>1855</v>
      </c>
    </row>
    <row r="41" spans="1:60">
      <c r="A41" t="s">
        <v>1893</v>
      </c>
      <c r="B41" t="s">
        <v>1852</v>
      </c>
      <c r="C41">
        <v>700</v>
      </c>
      <c r="D41" t="s">
        <v>1853</v>
      </c>
      <c r="E41">
        <v>327</v>
      </c>
      <c r="F41">
        <v>85</v>
      </c>
      <c r="G41">
        <v>69</v>
      </c>
      <c r="H41">
        <v>81</v>
      </c>
      <c r="I41">
        <v>316.5</v>
      </c>
      <c r="J41">
        <v>9.9000000000000005E-2</v>
      </c>
      <c r="K41">
        <v>10</v>
      </c>
      <c r="L41">
        <v>894.2</v>
      </c>
      <c r="M41">
        <v>32.6</v>
      </c>
      <c r="N41">
        <v>1403.6</v>
      </c>
      <c r="O41">
        <v>1.03</v>
      </c>
      <c r="P41">
        <v>1.0199</v>
      </c>
      <c r="Q41">
        <v>0.95</v>
      </c>
      <c r="R41">
        <v>0.01</v>
      </c>
      <c r="S41">
        <v>7.0999999999999994E-2</v>
      </c>
      <c r="T41">
        <v>8.7999999999999995E-2</v>
      </c>
      <c r="U41">
        <v>1.0920000000000001</v>
      </c>
      <c r="V41">
        <v>0.75600000000000001</v>
      </c>
      <c r="W41">
        <v>3.5999999999999997E-2</v>
      </c>
      <c r="X41">
        <v>7.7679999999999998</v>
      </c>
      <c r="Y41">
        <v>0.13500000000000001</v>
      </c>
      <c r="Z41">
        <v>0.9748</v>
      </c>
      <c r="AA41">
        <v>1.0035000000000001</v>
      </c>
      <c r="AB41">
        <v>1.0218</v>
      </c>
      <c r="AC41">
        <v>-2.8199999999999999E-2</v>
      </c>
      <c r="AD41">
        <v>9.5999999999999992E-3</v>
      </c>
      <c r="AE41">
        <v>2.12E-2</v>
      </c>
      <c r="AF41">
        <v>81</v>
      </c>
      <c r="AG41">
        <v>1</v>
      </c>
      <c r="AH41">
        <v>11.6</v>
      </c>
      <c r="AI41">
        <v>172</v>
      </c>
      <c r="AJ41">
        <v>63</v>
      </c>
      <c r="AK41">
        <v>1.6</v>
      </c>
      <c r="AL41">
        <v>350</v>
      </c>
      <c r="AM41">
        <v>27</v>
      </c>
      <c r="AN41">
        <v>1.4</v>
      </c>
      <c r="AO41">
        <v>347</v>
      </c>
      <c r="AP41">
        <v>66</v>
      </c>
      <c r="AQ41">
        <v>115</v>
      </c>
      <c r="AR41">
        <v>16</v>
      </c>
      <c r="AS41">
        <v>211</v>
      </c>
      <c r="AT41">
        <v>18</v>
      </c>
      <c r="AU41">
        <f>180+71.9</f>
        <v>251.9</v>
      </c>
      <c r="AV41">
        <f>--11.7</f>
        <v>11.7</v>
      </c>
      <c r="AW41">
        <f>180+165.1</f>
        <v>345.1</v>
      </c>
      <c r="AX41">
        <f>--17.3</f>
        <v>17.3</v>
      </c>
      <c r="AY41">
        <v>130.4</v>
      </c>
      <c r="AZ41">
        <v>69.2</v>
      </c>
      <c r="BF41">
        <f t="shared" si="7"/>
        <v>289.5</v>
      </c>
      <c r="BG41">
        <f t="shared" si="7"/>
        <v>1.4</v>
      </c>
      <c r="BH41" t="s">
        <v>1855</v>
      </c>
    </row>
    <row r="42" spans="1:60">
      <c r="A42" t="s">
        <v>1894</v>
      </c>
      <c r="B42" t="s">
        <v>1852</v>
      </c>
      <c r="C42">
        <v>700</v>
      </c>
      <c r="D42" t="s">
        <v>1853</v>
      </c>
      <c r="E42">
        <v>69</v>
      </c>
      <c r="F42">
        <v>81</v>
      </c>
      <c r="G42">
        <v>69</v>
      </c>
      <c r="H42">
        <v>81</v>
      </c>
      <c r="I42">
        <v>309.39999999999998</v>
      </c>
      <c r="J42">
        <v>8.0000000000000002E-3</v>
      </c>
      <c r="K42">
        <v>10</v>
      </c>
      <c r="L42">
        <v>226136.2</v>
      </c>
      <c r="M42">
        <v>190.8</v>
      </c>
      <c r="N42">
        <v>384757.8</v>
      </c>
      <c r="O42">
        <v>1.0306</v>
      </c>
      <c r="P42">
        <v>1.0285</v>
      </c>
      <c r="Q42">
        <v>0.94089999999999996</v>
      </c>
      <c r="R42">
        <v>2E-3</v>
      </c>
      <c r="S42">
        <v>8.8999999999999996E-2</v>
      </c>
      <c r="T42">
        <v>0.104</v>
      </c>
      <c r="U42">
        <v>1.1100000000000001</v>
      </c>
      <c r="V42">
        <v>0.95499999999999996</v>
      </c>
      <c r="W42">
        <v>4.2000000000000003E-2</v>
      </c>
      <c r="X42">
        <v>8.6999999999999993</v>
      </c>
      <c r="Y42">
        <v>2.4E-2</v>
      </c>
      <c r="Z42">
        <v>1.0302</v>
      </c>
      <c r="AA42">
        <v>1.0288999999999999</v>
      </c>
      <c r="AB42">
        <v>0.94089999999999996</v>
      </c>
      <c r="AC42">
        <v>-8.0000000000000004E-4</v>
      </c>
      <c r="AD42">
        <v>-8.0000000000000004E-4</v>
      </c>
      <c r="AE42">
        <v>6.9999999999999999E-4</v>
      </c>
      <c r="AF42">
        <v>244</v>
      </c>
      <c r="AG42">
        <v>25</v>
      </c>
      <c r="AH42">
        <v>4.4000000000000004</v>
      </c>
      <c r="AI42">
        <v>88</v>
      </c>
      <c r="AJ42">
        <v>63</v>
      </c>
      <c r="AK42">
        <v>0.1</v>
      </c>
      <c r="AL42">
        <v>339</v>
      </c>
      <c r="AM42">
        <v>9</v>
      </c>
      <c r="AN42">
        <v>0.1</v>
      </c>
      <c r="AO42">
        <v>334</v>
      </c>
      <c r="AP42">
        <v>1</v>
      </c>
      <c r="AQ42">
        <v>244</v>
      </c>
      <c r="AR42">
        <v>0</v>
      </c>
      <c r="AS42">
        <v>134</v>
      </c>
      <c r="AT42">
        <v>89</v>
      </c>
      <c r="AU42">
        <f>-180+223.5</f>
        <v>43.5</v>
      </c>
      <c r="AV42">
        <f>--0.7</f>
        <v>0.7</v>
      </c>
      <c r="AW42">
        <f>180+133.6</f>
        <v>313.60000000000002</v>
      </c>
      <c r="AX42">
        <f>--0.4</f>
        <v>0.4</v>
      </c>
      <c r="AY42">
        <v>23.6</v>
      </c>
      <c r="AZ42">
        <v>90</v>
      </c>
      <c r="BF42">
        <f>AY17</f>
        <v>340</v>
      </c>
      <c r="BG42">
        <f>AZ17</f>
        <v>78.3</v>
      </c>
      <c r="BH42" t="s">
        <v>1869</v>
      </c>
    </row>
    <row r="43" spans="1:60">
      <c r="A43" t="s">
        <v>1895</v>
      </c>
      <c r="B43" t="s">
        <v>1852</v>
      </c>
      <c r="C43">
        <v>700</v>
      </c>
      <c r="D43" t="s">
        <v>1853</v>
      </c>
      <c r="E43">
        <v>70</v>
      </c>
      <c r="F43">
        <v>87</v>
      </c>
      <c r="G43">
        <v>69</v>
      </c>
      <c r="H43">
        <v>81</v>
      </c>
      <c r="I43">
        <v>246.6</v>
      </c>
      <c r="J43">
        <v>0.03</v>
      </c>
      <c r="K43">
        <v>10</v>
      </c>
      <c r="L43">
        <v>14973.7</v>
      </c>
      <c r="M43">
        <v>60.1</v>
      </c>
      <c r="N43">
        <v>24014.1</v>
      </c>
      <c r="O43">
        <v>1.0294000000000001</v>
      </c>
      <c r="P43">
        <v>1.0249999999999999</v>
      </c>
      <c r="Q43">
        <v>0.9456</v>
      </c>
      <c r="R43">
        <v>4.0000000000000001E-3</v>
      </c>
      <c r="S43">
        <v>8.1000000000000003E-2</v>
      </c>
      <c r="T43">
        <v>9.6000000000000002E-2</v>
      </c>
      <c r="U43">
        <v>1.1000000000000001</v>
      </c>
      <c r="V43">
        <v>0.89800000000000002</v>
      </c>
      <c r="W43">
        <v>3.9E-2</v>
      </c>
      <c r="X43">
        <v>8.1440000000000001</v>
      </c>
      <c r="Y43">
        <v>5.5E-2</v>
      </c>
      <c r="Z43">
        <v>1.0263</v>
      </c>
      <c r="AA43">
        <v>1.0279</v>
      </c>
      <c r="AB43">
        <v>0.94579999999999997</v>
      </c>
      <c r="AC43">
        <v>-2E-3</v>
      </c>
      <c r="AD43">
        <v>-3.8999999999999998E-3</v>
      </c>
      <c r="AE43">
        <v>-1E-4</v>
      </c>
      <c r="AF43">
        <v>242</v>
      </c>
      <c r="AG43">
        <v>56</v>
      </c>
      <c r="AH43">
        <v>7.1</v>
      </c>
      <c r="AI43">
        <v>74</v>
      </c>
      <c r="AJ43">
        <v>33</v>
      </c>
      <c r="AK43">
        <v>0.5</v>
      </c>
      <c r="AL43">
        <v>340</v>
      </c>
      <c r="AM43">
        <v>6</v>
      </c>
      <c r="AN43">
        <v>0.4</v>
      </c>
      <c r="AO43">
        <v>303</v>
      </c>
      <c r="AP43">
        <v>2</v>
      </c>
      <c r="AQ43">
        <v>213</v>
      </c>
      <c r="AR43">
        <v>2</v>
      </c>
      <c r="AS43">
        <v>88</v>
      </c>
      <c r="AT43">
        <v>87</v>
      </c>
      <c r="AU43">
        <v>192.8</v>
      </c>
      <c r="AV43">
        <v>3.6</v>
      </c>
      <c r="AW43">
        <v>102.3</v>
      </c>
      <c r="AX43">
        <v>0.7</v>
      </c>
      <c r="AY43">
        <v>357.4</v>
      </c>
      <c r="AZ43">
        <v>86.8</v>
      </c>
      <c r="BF43">
        <f t="shared" ref="BF43:BG46" si="8">AY18</f>
        <v>320</v>
      </c>
      <c r="BG43">
        <f t="shared" si="8"/>
        <v>80</v>
      </c>
      <c r="BH43" t="s">
        <v>1869</v>
      </c>
    </row>
    <row r="44" spans="1:60">
      <c r="A44" t="s">
        <v>1896</v>
      </c>
      <c r="B44" t="s">
        <v>1852</v>
      </c>
      <c r="C44">
        <v>700</v>
      </c>
      <c r="D44" t="s">
        <v>1853</v>
      </c>
      <c r="E44">
        <v>188</v>
      </c>
      <c r="F44">
        <v>37</v>
      </c>
      <c r="G44">
        <v>69</v>
      </c>
      <c r="H44">
        <v>81</v>
      </c>
      <c r="I44">
        <v>355</v>
      </c>
      <c r="J44">
        <v>1.351</v>
      </c>
      <c r="K44">
        <v>10</v>
      </c>
      <c r="L44">
        <v>3.1</v>
      </c>
      <c r="M44">
        <v>1.5</v>
      </c>
      <c r="N44">
        <v>2.4</v>
      </c>
      <c r="O44">
        <v>1.0296000000000001</v>
      </c>
      <c r="P44">
        <v>1.0023</v>
      </c>
      <c r="Q44">
        <v>0.96809999999999996</v>
      </c>
      <c r="R44">
        <v>2.7E-2</v>
      </c>
      <c r="S44">
        <v>3.5000000000000003E-2</v>
      </c>
      <c r="T44">
        <v>6.2E-2</v>
      </c>
      <c r="U44">
        <v>1.0640000000000001</v>
      </c>
      <c r="V44">
        <v>0.127</v>
      </c>
      <c r="W44">
        <v>2.5000000000000001E-2</v>
      </c>
      <c r="X44">
        <v>5.9770000000000003</v>
      </c>
      <c r="Y44">
        <v>0.57099999999999995</v>
      </c>
      <c r="Z44">
        <v>0.96899999999999997</v>
      </c>
      <c r="AA44">
        <v>1.0024999999999999</v>
      </c>
      <c r="AB44">
        <v>1.0286</v>
      </c>
      <c r="AC44">
        <v>-2.2000000000000001E-3</v>
      </c>
      <c r="AD44">
        <v>-2.5000000000000001E-3</v>
      </c>
      <c r="AE44">
        <v>6.8999999999999999E-3</v>
      </c>
      <c r="AF44">
        <v>108</v>
      </c>
      <c r="AG44">
        <v>47</v>
      </c>
      <c r="AH44">
        <v>46.9</v>
      </c>
      <c r="AI44">
        <v>281</v>
      </c>
      <c r="AJ44">
        <v>43</v>
      </c>
      <c r="AK44">
        <v>40.700000000000003</v>
      </c>
      <c r="AL44">
        <v>14</v>
      </c>
      <c r="AM44">
        <v>3</v>
      </c>
      <c r="AN44">
        <v>25.4</v>
      </c>
      <c r="AO44">
        <v>319</v>
      </c>
      <c r="AP44">
        <v>81</v>
      </c>
      <c r="AQ44">
        <v>92</v>
      </c>
      <c r="AR44">
        <v>6</v>
      </c>
      <c r="AS44">
        <v>183</v>
      </c>
      <c r="AT44">
        <v>6</v>
      </c>
      <c r="AU44">
        <f>180+125.1</f>
        <v>305.10000000000002</v>
      </c>
      <c r="AV44">
        <f>--18</f>
        <v>18</v>
      </c>
      <c r="AW44">
        <v>204.3</v>
      </c>
      <c r="AX44">
        <v>29.3</v>
      </c>
      <c r="AY44">
        <v>61.4</v>
      </c>
      <c r="AZ44">
        <v>54.7</v>
      </c>
      <c r="BF44">
        <f t="shared" si="8"/>
        <v>320</v>
      </c>
      <c r="BG44">
        <f t="shared" si="8"/>
        <v>80</v>
      </c>
      <c r="BH44" t="s">
        <v>1869</v>
      </c>
    </row>
    <row r="45" spans="1:60">
      <c r="A45" t="s">
        <v>1897</v>
      </c>
      <c r="B45" t="s">
        <v>1852</v>
      </c>
      <c r="C45">
        <v>700</v>
      </c>
      <c r="D45" t="s">
        <v>1853</v>
      </c>
      <c r="E45">
        <v>72</v>
      </c>
      <c r="F45">
        <v>84</v>
      </c>
      <c r="G45">
        <v>64</v>
      </c>
      <c r="H45">
        <v>85</v>
      </c>
      <c r="I45">
        <v>367.9</v>
      </c>
      <c r="J45">
        <v>2.1999999999999999E-2</v>
      </c>
      <c r="K45">
        <v>10</v>
      </c>
      <c r="L45">
        <v>10309.6</v>
      </c>
      <c r="M45">
        <v>270.2</v>
      </c>
      <c r="N45">
        <v>14918.4</v>
      </c>
      <c r="O45">
        <v>1.0202</v>
      </c>
      <c r="P45">
        <v>1.0130999999999999</v>
      </c>
      <c r="Q45">
        <v>0.9667</v>
      </c>
      <c r="R45">
        <v>7.0000000000000001E-3</v>
      </c>
      <c r="S45">
        <v>4.7E-2</v>
      </c>
      <c r="T45">
        <v>5.8999999999999997E-2</v>
      </c>
      <c r="U45">
        <v>1.06</v>
      </c>
      <c r="V45">
        <v>0.74099999999999999</v>
      </c>
      <c r="W45">
        <v>2.4E-2</v>
      </c>
      <c r="X45">
        <v>5.2460000000000004</v>
      </c>
      <c r="Y45">
        <v>0.14199999999999999</v>
      </c>
      <c r="Z45">
        <v>1.0155000000000001</v>
      </c>
      <c r="AA45">
        <v>1.0165</v>
      </c>
      <c r="AB45">
        <v>0.96799999999999997</v>
      </c>
      <c r="AC45">
        <v>-2.8999999999999998E-3</v>
      </c>
      <c r="AD45">
        <v>7.0000000000000001E-3</v>
      </c>
      <c r="AE45">
        <v>-4.1999999999999997E-3</v>
      </c>
      <c r="AF45">
        <v>259</v>
      </c>
      <c r="AG45">
        <v>52</v>
      </c>
      <c r="AH45">
        <v>3.2</v>
      </c>
      <c r="AI45">
        <v>75</v>
      </c>
      <c r="AJ45">
        <v>38</v>
      </c>
      <c r="AK45">
        <v>0.6</v>
      </c>
      <c r="AL45">
        <v>166</v>
      </c>
      <c r="AM45">
        <v>2</v>
      </c>
      <c r="AN45">
        <v>0.5</v>
      </c>
      <c r="AO45">
        <v>128</v>
      </c>
      <c r="AP45">
        <v>9</v>
      </c>
      <c r="AQ45">
        <v>38</v>
      </c>
      <c r="AR45">
        <v>1</v>
      </c>
      <c r="AS45">
        <v>300</v>
      </c>
      <c r="AT45">
        <v>81</v>
      </c>
      <c r="AU45">
        <v>191.6</v>
      </c>
      <c r="AV45">
        <v>13.1</v>
      </c>
      <c r="AW45">
        <f>180+103</f>
        <v>283</v>
      </c>
      <c r="AX45">
        <f>--5.5</f>
        <v>5.5</v>
      </c>
      <c r="AY45">
        <f>214-180</f>
        <v>34</v>
      </c>
      <c r="AZ45">
        <f>--76.1</f>
        <v>76.099999999999994</v>
      </c>
      <c r="BF45">
        <f t="shared" si="8"/>
        <v>46.8</v>
      </c>
      <c r="BG45">
        <f t="shared" si="8"/>
        <v>75</v>
      </c>
      <c r="BH45" t="s">
        <v>1869</v>
      </c>
    </row>
    <row r="46" spans="1:60">
      <c r="A46" t="s">
        <v>1898</v>
      </c>
      <c r="B46" t="s">
        <v>1852</v>
      </c>
      <c r="C46">
        <v>700</v>
      </c>
      <c r="D46" t="s">
        <v>1853</v>
      </c>
      <c r="E46">
        <v>72</v>
      </c>
      <c r="F46">
        <v>12</v>
      </c>
      <c r="G46">
        <v>64</v>
      </c>
      <c r="H46">
        <v>85</v>
      </c>
      <c r="I46">
        <v>237.9</v>
      </c>
      <c r="J46">
        <v>1.6E-2</v>
      </c>
      <c r="K46">
        <v>10</v>
      </c>
      <c r="L46">
        <v>48795.7</v>
      </c>
      <c r="M46">
        <v>48.3</v>
      </c>
      <c r="N46">
        <v>80635.8</v>
      </c>
      <c r="O46">
        <v>1.0278</v>
      </c>
      <c r="P46">
        <v>1.0256000000000001</v>
      </c>
      <c r="Q46">
        <v>0.9466</v>
      </c>
      <c r="R46">
        <v>2E-3</v>
      </c>
      <c r="S46">
        <v>0.08</v>
      </c>
      <c r="T46">
        <v>9.4E-2</v>
      </c>
      <c r="U46">
        <v>1.0980000000000001</v>
      </c>
      <c r="V46">
        <v>0.94899999999999995</v>
      </c>
      <c r="W46">
        <v>3.7999999999999999E-2</v>
      </c>
      <c r="X46">
        <v>7.8929999999999998</v>
      </c>
      <c r="Y46">
        <v>2.7E-2</v>
      </c>
      <c r="Z46">
        <v>1.0269999999999999</v>
      </c>
      <c r="AA46">
        <v>1.0255000000000001</v>
      </c>
      <c r="AB46">
        <v>0.94750000000000001</v>
      </c>
      <c r="AC46">
        <v>1.2999999999999999E-3</v>
      </c>
      <c r="AD46">
        <v>7.4999999999999997E-3</v>
      </c>
      <c r="AE46">
        <v>-3.3999999999999998E-3</v>
      </c>
      <c r="AF46">
        <v>104</v>
      </c>
      <c r="AG46">
        <v>7</v>
      </c>
      <c r="AH46">
        <v>7.9</v>
      </c>
      <c r="AI46">
        <v>196</v>
      </c>
      <c r="AJ46">
        <v>16</v>
      </c>
      <c r="AK46">
        <v>0.3</v>
      </c>
      <c r="AL46">
        <v>350</v>
      </c>
      <c r="AM46">
        <v>72</v>
      </c>
      <c r="AN46">
        <v>0.2</v>
      </c>
      <c r="AO46">
        <v>33</v>
      </c>
      <c r="AP46">
        <v>1</v>
      </c>
      <c r="AQ46">
        <v>123</v>
      </c>
      <c r="AR46">
        <v>6</v>
      </c>
      <c r="AS46">
        <v>295</v>
      </c>
      <c r="AT46">
        <v>84</v>
      </c>
      <c r="AU46">
        <f>180+77.1</f>
        <v>257.10000000000002</v>
      </c>
      <c r="AV46">
        <f>--38.7</f>
        <v>38.700000000000003</v>
      </c>
      <c r="AW46">
        <f>-180+216.4</f>
        <v>36.400000000000006</v>
      </c>
      <c r="AX46">
        <f>--43.4</f>
        <v>43.4</v>
      </c>
      <c r="AY46">
        <v>148.69999999999999</v>
      </c>
      <c r="AZ46">
        <v>22.3</v>
      </c>
      <c r="BF46">
        <f t="shared" si="8"/>
        <v>276.60000000000002</v>
      </c>
      <c r="BG46">
        <f t="shared" si="8"/>
        <v>2.6</v>
      </c>
      <c r="BH46" t="s">
        <v>1869</v>
      </c>
    </row>
    <row r="47" spans="1:60">
      <c r="A47" t="s">
        <v>1899</v>
      </c>
      <c r="B47" t="s">
        <v>1852</v>
      </c>
      <c r="C47">
        <v>700</v>
      </c>
      <c r="D47" t="s">
        <v>1853</v>
      </c>
      <c r="E47">
        <v>80</v>
      </c>
      <c r="F47">
        <v>72</v>
      </c>
      <c r="G47">
        <v>80</v>
      </c>
      <c r="H47">
        <v>72</v>
      </c>
      <c r="I47">
        <v>278.39999999999998</v>
      </c>
      <c r="J47">
        <v>2.9000000000000001E-2</v>
      </c>
      <c r="K47">
        <v>10</v>
      </c>
      <c r="L47">
        <v>6930.3</v>
      </c>
      <c r="M47">
        <v>209.3</v>
      </c>
      <c r="N47">
        <v>11047.2</v>
      </c>
      <c r="O47">
        <v>1.0218</v>
      </c>
      <c r="P47">
        <v>1.0145999999999999</v>
      </c>
      <c r="Q47">
        <v>0.96360000000000001</v>
      </c>
      <c r="R47">
        <v>7.0000000000000001E-3</v>
      </c>
      <c r="S47">
        <v>5.1999999999999998E-2</v>
      </c>
      <c r="T47">
        <v>6.4000000000000001E-2</v>
      </c>
      <c r="U47">
        <v>1.0660000000000001</v>
      </c>
      <c r="V47">
        <v>0.75700000000000001</v>
      </c>
      <c r="W47">
        <v>2.5999999999999999E-2</v>
      </c>
      <c r="X47">
        <v>5.6970000000000001</v>
      </c>
      <c r="Y47">
        <v>0.13300000000000001</v>
      </c>
      <c r="Z47">
        <v>1.0187999999999999</v>
      </c>
      <c r="AA47">
        <v>1.0150999999999999</v>
      </c>
      <c r="AB47">
        <v>0.96619999999999995</v>
      </c>
      <c r="AC47">
        <v>-1.5E-3</v>
      </c>
      <c r="AD47">
        <v>-2.7000000000000001E-3</v>
      </c>
      <c r="AE47">
        <v>1.1599999999999999E-2</v>
      </c>
      <c r="AF47">
        <v>243</v>
      </c>
      <c r="AG47">
        <v>12</v>
      </c>
      <c r="AH47">
        <v>4.7</v>
      </c>
      <c r="AI47">
        <v>124</v>
      </c>
      <c r="AJ47">
        <v>66</v>
      </c>
      <c r="AK47">
        <v>0.7</v>
      </c>
      <c r="AL47">
        <v>337</v>
      </c>
      <c r="AM47">
        <v>20</v>
      </c>
      <c r="AN47">
        <v>0.6</v>
      </c>
      <c r="AO47">
        <v>343</v>
      </c>
      <c r="AP47">
        <v>12</v>
      </c>
      <c r="AQ47">
        <v>73</v>
      </c>
      <c r="AR47">
        <v>1</v>
      </c>
      <c r="AS47">
        <v>168</v>
      </c>
      <c r="AT47">
        <v>78</v>
      </c>
      <c r="AU47">
        <f>243-180</f>
        <v>63</v>
      </c>
      <c r="AV47">
        <f>--12</f>
        <v>12</v>
      </c>
      <c r="AW47">
        <v>153</v>
      </c>
      <c r="AX47">
        <v>0.8</v>
      </c>
      <c r="AY47">
        <v>248.7</v>
      </c>
      <c r="AZ47">
        <v>77.599999999999994</v>
      </c>
      <c r="BF47">
        <f t="shared" ref="BF47:BG62" si="9">AY23</f>
        <v>119.3</v>
      </c>
      <c r="BG47">
        <f t="shared" si="9"/>
        <v>77.900000000000006</v>
      </c>
      <c r="BH47" t="s">
        <v>1869</v>
      </c>
    </row>
    <row r="48" spans="1:60">
      <c r="A48" t="s">
        <v>1900</v>
      </c>
      <c r="B48" t="s">
        <v>1852</v>
      </c>
      <c r="C48">
        <v>700</v>
      </c>
      <c r="D48" t="s">
        <v>1853</v>
      </c>
      <c r="E48">
        <v>170</v>
      </c>
      <c r="F48">
        <v>-27</v>
      </c>
      <c r="G48">
        <v>80</v>
      </c>
      <c r="H48">
        <v>72</v>
      </c>
      <c r="I48">
        <v>234.8</v>
      </c>
      <c r="J48">
        <v>1.9E-2</v>
      </c>
      <c r="K48">
        <v>10</v>
      </c>
      <c r="L48">
        <v>27639.9</v>
      </c>
      <c r="M48">
        <v>41.8</v>
      </c>
      <c r="N48">
        <v>46140.4</v>
      </c>
      <c r="O48">
        <v>1.0247999999999999</v>
      </c>
      <c r="P48">
        <v>1.0225</v>
      </c>
      <c r="Q48">
        <v>0.9526</v>
      </c>
      <c r="R48">
        <v>2E-3</v>
      </c>
      <c r="S48">
        <v>7.0999999999999994E-2</v>
      </c>
      <c r="T48">
        <v>8.3000000000000004E-2</v>
      </c>
      <c r="U48">
        <v>1.087</v>
      </c>
      <c r="V48">
        <v>0.93799999999999994</v>
      </c>
      <c r="W48">
        <v>3.4000000000000002E-2</v>
      </c>
      <c r="X48">
        <v>7.048</v>
      </c>
      <c r="Y48">
        <v>3.2000000000000001E-2</v>
      </c>
      <c r="Z48">
        <v>0.95299999999999996</v>
      </c>
      <c r="AA48">
        <v>1.0230999999999999</v>
      </c>
      <c r="AB48">
        <v>1.0239</v>
      </c>
      <c r="AC48">
        <v>-1E-4</v>
      </c>
      <c r="AD48">
        <v>-1E-3</v>
      </c>
      <c r="AE48">
        <v>-5.4000000000000003E-3</v>
      </c>
      <c r="AF48">
        <v>15</v>
      </c>
      <c r="AG48">
        <v>86</v>
      </c>
      <c r="AH48">
        <v>8.9</v>
      </c>
      <c r="AI48">
        <v>262</v>
      </c>
      <c r="AJ48">
        <v>2</v>
      </c>
      <c r="AK48">
        <v>0.3</v>
      </c>
      <c r="AL48">
        <v>172</v>
      </c>
      <c r="AM48">
        <v>4</v>
      </c>
      <c r="AN48">
        <v>0.3</v>
      </c>
      <c r="AO48">
        <v>262</v>
      </c>
      <c r="AP48">
        <v>61</v>
      </c>
      <c r="AQ48">
        <v>93</v>
      </c>
      <c r="AR48">
        <v>29</v>
      </c>
      <c r="AS48">
        <v>0</v>
      </c>
      <c r="AT48">
        <v>4</v>
      </c>
      <c r="AU48">
        <v>168.2</v>
      </c>
      <c r="AV48">
        <v>21.6</v>
      </c>
      <c r="AW48">
        <v>258.7</v>
      </c>
      <c r="AX48">
        <v>2.5</v>
      </c>
      <c r="AY48">
        <f>180+175.3</f>
        <v>355.3</v>
      </c>
      <c r="AZ48">
        <f>--67.9</f>
        <v>67.900000000000006</v>
      </c>
      <c r="BF48">
        <f t="shared" si="9"/>
        <v>334</v>
      </c>
      <c r="BG48">
        <f t="shared" si="9"/>
        <v>86</v>
      </c>
      <c r="BH48" t="s">
        <v>1869</v>
      </c>
    </row>
    <row r="49" spans="1:60">
      <c r="A49" t="s">
        <v>1901</v>
      </c>
      <c r="B49" t="s">
        <v>1852</v>
      </c>
      <c r="C49">
        <v>700</v>
      </c>
      <c r="D49" t="s">
        <v>1853</v>
      </c>
      <c r="E49">
        <v>80</v>
      </c>
      <c r="F49">
        <v>90</v>
      </c>
      <c r="G49">
        <v>80</v>
      </c>
      <c r="H49">
        <v>72</v>
      </c>
      <c r="I49">
        <v>374.3</v>
      </c>
      <c r="J49">
        <v>8.0000000000000002E-3</v>
      </c>
      <c r="K49">
        <v>10</v>
      </c>
      <c r="L49">
        <v>129534.39999999999</v>
      </c>
      <c r="M49">
        <v>2587</v>
      </c>
      <c r="N49">
        <v>216268.2</v>
      </c>
      <c r="O49">
        <v>1.0254000000000001</v>
      </c>
      <c r="P49">
        <v>1.0185999999999999</v>
      </c>
      <c r="Q49">
        <v>0.95599999999999996</v>
      </c>
      <c r="R49">
        <v>7.0000000000000001E-3</v>
      </c>
      <c r="S49">
        <v>6.3E-2</v>
      </c>
      <c r="T49">
        <v>7.6999999999999999E-2</v>
      </c>
      <c r="U49">
        <v>1.08</v>
      </c>
      <c r="V49">
        <v>0.80900000000000005</v>
      </c>
      <c r="W49">
        <v>3.1E-2</v>
      </c>
      <c r="X49">
        <v>6.766</v>
      </c>
      <c r="Y49">
        <v>0.104</v>
      </c>
      <c r="Z49">
        <v>1.0254000000000001</v>
      </c>
      <c r="AA49">
        <v>1.0185</v>
      </c>
      <c r="AB49">
        <v>0.95609999999999995</v>
      </c>
      <c r="AC49">
        <v>-2.9999999999999997E-4</v>
      </c>
      <c r="AD49">
        <v>1.6000000000000001E-3</v>
      </c>
      <c r="AE49">
        <v>-2.0000000000000001E-4</v>
      </c>
      <c r="AF49">
        <v>260</v>
      </c>
      <c r="AG49">
        <v>3</v>
      </c>
      <c r="AH49">
        <v>1.5</v>
      </c>
      <c r="AI49">
        <v>52</v>
      </c>
      <c r="AJ49">
        <v>87</v>
      </c>
      <c r="AK49">
        <v>0.2</v>
      </c>
      <c r="AL49">
        <v>170</v>
      </c>
      <c r="AM49">
        <v>2</v>
      </c>
      <c r="AN49">
        <v>0.1</v>
      </c>
      <c r="AO49">
        <v>177</v>
      </c>
      <c r="AP49">
        <v>0</v>
      </c>
      <c r="AQ49">
        <v>87</v>
      </c>
      <c r="AR49">
        <v>1</v>
      </c>
      <c r="AS49">
        <v>277</v>
      </c>
      <c r="AT49">
        <v>88</v>
      </c>
      <c r="AU49">
        <v>257.10000000000002</v>
      </c>
      <c r="AV49">
        <v>0.9</v>
      </c>
      <c r="AW49">
        <v>167.2</v>
      </c>
      <c r="AX49">
        <v>19.399999999999999</v>
      </c>
      <c r="AY49">
        <f>180+170</f>
        <v>350</v>
      </c>
      <c r="AZ49">
        <f>--70</f>
        <v>70</v>
      </c>
      <c r="BF49">
        <f t="shared" si="9"/>
        <v>270.10000000000002</v>
      </c>
      <c r="BG49">
        <f t="shared" si="9"/>
        <v>7.5</v>
      </c>
      <c r="BH49" t="s">
        <v>1869</v>
      </c>
    </row>
    <row r="50" spans="1:60">
      <c r="A50" t="s">
        <v>1902</v>
      </c>
      <c r="B50" t="s">
        <v>1852</v>
      </c>
      <c r="C50">
        <v>700</v>
      </c>
      <c r="D50" t="s">
        <v>1853</v>
      </c>
      <c r="E50">
        <v>160</v>
      </c>
      <c r="F50">
        <v>75</v>
      </c>
      <c r="G50">
        <v>80</v>
      </c>
      <c r="H50">
        <v>72</v>
      </c>
      <c r="I50">
        <v>284.5</v>
      </c>
      <c r="J50">
        <v>1.0999999999999999E-2</v>
      </c>
      <c r="K50">
        <v>10</v>
      </c>
      <c r="L50">
        <v>81337.899999999994</v>
      </c>
      <c r="M50">
        <v>55</v>
      </c>
      <c r="N50">
        <v>143563.1</v>
      </c>
      <c r="O50">
        <v>1.0243</v>
      </c>
      <c r="P50">
        <v>1.0228999999999999</v>
      </c>
      <c r="Q50">
        <v>0.95279999999999998</v>
      </c>
      <c r="R50">
        <v>1E-3</v>
      </c>
      <c r="S50">
        <v>7.0999999999999994E-2</v>
      </c>
      <c r="T50">
        <v>8.3000000000000004E-2</v>
      </c>
      <c r="U50">
        <v>1.0860000000000001</v>
      </c>
      <c r="V50">
        <v>0.96299999999999997</v>
      </c>
      <c r="W50">
        <v>3.3000000000000002E-2</v>
      </c>
      <c r="X50">
        <v>6.9820000000000002</v>
      </c>
      <c r="Y50">
        <v>0.02</v>
      </c>
      <c r="Z50">
        <v>1.0242</v>
      </c>
      <c r="AA50">
        <v>1.0202</v>
      </c>
      <c r="AB50">
        <v>0.95569999999999999</v>
      </c>
      <c r="AC50">
        <v>6.9999999999999999E-4</v>
      </c>
      <c r="AD50">
        <v>1.38E-2</v>
      </c>
      <c r="AE50">
        <v>-2E-3</v>
      </c>
      <c r="AF50">
        <v>163</v>
      </c>
      <c r="AG50">
        <v>14</v>
      </c>
      <c r="AH50">
        <v>9.4</v>
      </c>
      <c r="AI50">
        <v>329</v>
      </c>
      <c r="AJ50">
        <v>75</v>
      </c>
      <c r="AK50">
        <v>0.2</v>
      </c>
      <c r="AL50">
        <v>72</v>
      </c>
      <c r="AM50">
        <v>3</v>
      </c>
      <c r="AN50">
        <v>0.2</v>
      </c>
      <c r="AO50">
        <v>14</v>
      </c>
      <c r="AP50">
        <v>1</v>
      </c>
      <c r="AQ50">
        <v>105</v>
      </c>
      <c r="AR50">
        <v>12</v>
      </c>
      <c r="AS50">
        <v>278</v>
      </c>
      <c r="AT50">
        <v>78</v>
      </c>
      <c r="AU50">
        <f>180+157.4</f>
        <v>337.4</v>
      </c>
      <c r="AV50">
        <f>--57.3</f>
        <v>57.3</v>
      </c>
      <c r="AW50">
        <v>176.3</v>
      </c>
      <c r="AX50">
        <v>31.9</v>
      </c>
      <c r="AY50">
        <v>80.400000000000006</v>
      </c>
      <c r="AZ50">
        <v>8.5</v>
      </c>
      <c r="BF50">
        <f t="shared" si="9"/>
        <v>271.10000000000002</v>
      </c>
      <c r="BG50">
        <f t="shared" si="9"/>
        <v>10.199999999999999</v>
      </c>
      <c r="BH50" t="s">
        <v>1869</v>
      </c>
    </row>
    <row r="51" spans="1:60">
      <c r="A51" t="s">
        <v>1903</v>
      </c>
      <c r="B51" t="s">
        <v>1852</v>
      </c>
      <c r="C51">
        <v>700</v>
      </c>
      <c r="D51" t="s">
        <v>1853</v>
      </c>
      <c r="E51">
        <v>90</v>
      </c>
      <c r="F51">
        <v>85</v>
      </c>
      <c r="G51">
        <v>80</v>
      </c>
      <c r="H51">
        <v>72</v>
      </c>
      <c r="I51">
        <v>316.5</v>
      </c>
      <c r="J51">
        <v>5.7000000000000002E-2</v>
      </c>
      <c r="K51">
        <v>10</v>
      </c>
      <c r="L51">
        <v>6222</v>
      </c>
      <c r="M51">
        <v>6.2</v>
      </c>
      <c r="N51">
        <v>11349.6</v>
      </c>
      <c r="O51">
        <v>1.0348999999999999</v>
      </c>
      <c r="P51">
        <v>1.0325</v>
      </c>
      <c r="Q51">
        <v>0.93259999999999998</v>
      </c>
      <c r="R51">
        <v>2E-3</v>
      </c>
      <c r="S51">
        <v>0.10199999999999999</v>
      </c>
      <c r="T51">
        <v>0.11899999999999999</v>
      </c>
      <c r="U51">
        <v>1.1259999999999999</v>
      </c>
      <c r="V51">
        <v>0.95699999999999996</v>
      </c>
      <c r="W51">
        <v>4.8000000000000001E-2</v>
      </c>
      <c r="X51">
        <v>9.8819999999999997</v>
      </c>
      <c r="Y51">
        <v>2.3E-2</v>
      </c>
      <c r="Z51">
        <v>1.0347</v>
      </c>
      <c r="AA51">
        <v>1.0313000000000001</v>
      </c>
      <c r="AB51">
        <v>0.93389999999999995</v>
      </c>
      <c r="AC51">
        <v>-2.9999999999999997E-4</v>
      </c>
      <c r="AD51">
        <v>1.09E-2</v>
      </c>
      <c r="AE51">
        <v>3.5999999999999999E-3</v>
      </c>
      <c r="AF51">
        <v>88</v>
      </c>
      <c r="AG51">
        <v>2</v>
      </c>
      <c r="AH51">
        <v>28.1</v>
      </c>
      <c r="AI51">
        <v>303</v>
      </c>
      <c r="AJ51">
        <v>88</v>
      </c>
      <c r="AK51">
        <v>0.7</v>
      </c>
      <c r="AL51">
        <v>178</v>
      </c>
      <c r="AM51">
        <v>1</v>
      </c>
      <c r="AN51">
        <v>0.7</v>
      </c>
      <c r="AO51">
        <v>2</v>
      </c>
      <c r="AP51">
        <v>2</v>
      </c>
      <c r="AQ51">
        <v>92</v>
      </c>
      <c r="AR51">
        <v>6</v>
      </c>
      <c r="AS51">
        <v>252</v>
      </c>
      <c r="AT51">
        <v>83</v>
      </c>
      <c r="AU51">
        <f>180+84.4</f>
        <v>264.39999999999998</v>
      </c>
      <c r="AV51">
        <f>--7</f>
        <v>7</v>
      </c>
      <c r="AW51">
        <v>171.6</v>
      </c>
      <c r="AX51">
        <v>19.399999999999999</v>
      </c>
      <c r="AY51">
        <f>-180+193.3</f>
        <v>13.300000000000011</v>
      </c>
      <c r="AZ51">
        <f>--69.4</f>
        <v>69.400000000000006</v>
      </c>
      <c r="BF51">
        <f t="shared" si="9"/>
        <v>310.39999999999998</v>
      </c>
      <c r="BG51">
        <f t="shared" si="9"/>
        <v>81.099999999999994</v>
      </c>
      <c r="BH51" t="s">
        <v>1869</v>
      </c>
    </row>
    <row r="52" spans="1:60">
      <c r="A52" t="s">
        <v>1904</v>
      </c>
      <c r="B52" t="s">
        <v>1852</v>
      </c>
      <c r="C52">
        <v>700</v>
      </c>
      <c r="D52" t="s">
        <v>1853</v>
      </c>
      <c r="E52">
        <v>70</v>
      </c>
      <c r="F52">
        <v>60</v>
      </c>
      <c r="G52">
        <v>80</v>
      </c>
      <c r="H52">
        <v>72</v>
      </c>
      <c r="I52">
        <v>293.89999999999998</v>
      </c>
      <c r="J52">
        <v>1.9E-2</v>
      </c>
      <c r="K52">
        <v>10</v>
      </c>
      <c r="L52">
        <v>26046.1</v>
      </c>
      <c r="M52">
        <v>11.3</v>
      </c>
      <c r="N52">
        <v>44660.6</v>
      </c>
      <c r="O52">
        <v>1.0237000000000001</v>
      </c>
      <c r="P52">
        <v>1.0225</v>
      </c>
      <c r="Q52">
        <v>0.95379999999999998</v>
      </c>
      <c r="R52">
        <v>1E-3</v>
      </c>
      <c r="S52">
        <v>7.0000000000000007E-2</v>
      </c>
      <c r="T52">
        <v>8.1000000000000003E-2</v>
      </c>
      <c r="U52">
        <v>1.0840000000000001</v>
      </c>
      <c r="V52">
        <v>0.96799999999999997</v>
      </c>
      <c r="W52">
        <v>3.3000000000000002E-2</v>
      </c>
      <c r="X52">
        <v>6.8209999999999997</v>
      </c>
      <c r="Y52">
        <v>1.6E-2</v>
      </c>
      <c r="Z52">
        <v>1.0235000000000001</v>
      </c>
      <c r="AA52">
        <v>1.0193000000000001</v>
      </c>
      <c r="AB52">
        <v>0.95720000000000005</v>
      </c>
      <c r="AC52">
        <v>5.9999999999999995E-4</v>
      </c>
      <c r="AD52">
        <v>1.49E-2</v>
      </c>
      <c r="AE52">
        <v>-1E-3</v>
      </c>
      <c r="AF52">
        <v>78</v>
      </c>
      <c r="AG52">
        <v>22</v>
      </c>
      <c r="AH52">
        <v>18</v>
      </c>
      <c r="AI52">
        <v>216</v>
      </c>
      <c r="AJ52">
        <v>62</v>
      </c>
      <c r="AK52">
        <v>0.3</v>
      </c>
      <c r="AL52">
        <v>341</v>
      </c>
      <c r="AM52">
        <v>17</v>
      </c>
      <c r="AN52">
        <v>0.3</v>
      </c>
      <c r="AO52">
        <v>23</v>
      </c>
      <c r="AP52">
        <v>4</v>
      </c>
      <c r="AQ52">
        <v>114</v>
      </c>
      <c r="AR52">
        <v>12</v>
      </c>
      <c r="AS52">
        <v>274</v>
      </c>
      <c r="AT52">
        <v>77</v>
      </c>
      <c r="AU52">
        <v>100.5</v>
      </c>
      <c r="AV52">
        <v>8.4</v>
      </c>
      <c r="AW52">
        <f>-180+189.8</f>
        <v>9.8000000000000114</v>
      </c>
      <c r="AX52">
        <f>--2.1</f>
        <v>2.1</v>
      </c>
      <c r="AY52">
        <v>265.3</v>
      </c>
      <c r="AZ52">
        <v>81.400000000000006</v>
      </c>
      <c r="BF52">
        <f t="shared" si="9"/>
        <v>58.7</v>
      </c>
      <c r="BG52">
        <f t="shared" si="9"/>
        <v>78.2</v>
      </c>
      <c r="BH52" t="s">
        <v>1869</v>
      </c>
    </row>
    <row r="53" spans="1:60">
      <c r="A53" t="s">
        <v>1905</v>
      </c>
      <c r="B53" t="s">
        <v>1852</v>
      </c>
      <c r="C53">
        <v>700</v>
      </c>
      <c r="D53" t="s">
        <v>1853</v>
      </c>
      <c r="E53">
        <v>64</v>
      </c>
      <c r="F53">
        <v>88</v>
      </c>
      <c r="G53">
        <v>80</v>
      </c>
      <c r="H53">
        <v>72</v>
      </c>
      <c r="I53">
        <v>262.10000000000002</v>
      </c>
      <c r="J53">
        <v>7.0000000000000001E-3</v>
      </c>
      <c r="K53">
        <v>10</v>
      </c>
      <c r="L53">
        <v>134131.6</v>
      </c>
      <c r="M53">
        <v>1878.3</v>
      </c>
      <c r="N53">
        <v>204639.3</v>
      </c>
      <c r="O53">
        <v>1.0221</v>
      </c>
      <c r="P53">
        <v>1.0162</v>
      </c>
      <c r="Q53">
        <v>0.9617</v>
      </c>
      <c r="R53">
        <v>6.0000000000000001E-3</v>
      </c>
      <c r="S53">
        <v>5.5E-2</v>
      </c>
      <c r="T53">
        <v>6.7000000000000004E-2</v>
      </c>
      <c r="U53">
        <v>1.069</v>
      </c>
      <c r="V53">
        <v>0.81200000000000006</v>
      </c>
      <c r="W53">
        <v>2.7E-2</v>
      </c>
      <c r="X53">
        <v>5.9020000000000001</v>
      </c>
      <c r="Y53">
        <v>0.10199999999999999</v>
      </c>
      <c r="Z53">
        <v>1.0199</v>
      </c>
      <c r="AA53">
        <v>1.0174000000000001</v>
      </c>
      <c r="AB53">
        <v>0.9627</v>
      </c>
      <c r="AC53">
        <v>-2.2000000000000001E-3</v>
      </c>
      <c r="AD53">
        <v>5.7999999999999996E-3</v>
      </c>
      <c r="AE53">
        <v>-4.7000000000000002E-3</v>
      </c>
      <c r="AF53">
        <v>251</v>
      </c>
      <c r="AG53">
        <v>34</v>
      </c>
      <c r="AH53">
        <v>1.3</v>
      </c>
      <c r="AI53">
        <v>63</v>
      </c>
      <c r="AJ53">
        <v>56</v>
      </c>
      <c r="AK53">
        <v>0.2</v>
      </c>
      <c r="AL53">
        <v>158</v>
      </c>
      <c r="AM53">
        <v>4</v>
      </c>
      <c r="AN53">
        <v>0.1</v>
      </c>
      <c r="AO53">
        <v>146</v>
      </c>
      <c r="AP53">
        <v>7</v>
      </c>
      <c r="AQ53">
        <v>56</v>
      </c>
      <c r="AR53">
        <v>2</v>
      </c>
      <c r="AS53">
        <v>307</v>
      </c>
      <c r="AT53">
        <v>83</v>
      </c>
      <c r="AU53">
        <v>225.1</v>
      </c>
      <c r="AV53">
        <v>2.8</v>
      </c>
      <c r="AW53">
        <v>134.1</v>
      </c>
      <c r="AX53">
        <v>24.3</v>
      </c>
      <c r="AY53">
        <f>180+140.6</f>
        <v>320.60000000000002</v>
      </c>
      <c r="AZ53">
        <f>--65</f>
        <v>65</v>
      </c>
      <c r="BF53">
        <f t="shared" si="9"/>
        <v>76.400000000000006</v>
      </c>
      <c r="BG53">
        <f t="shared" si="9"/>
        <v>83.2</v>
      </c>
      <c r="BH53" t="s">
        <v>1869</v>
      </c>
    </row>
    <row r="54" spans="1:60">
      <c r="A54" t="s">
        <v>1906</v>
      </c>
      <c r="B54" t="s">
        <v>1852</v>
      </c>
      <c r="C54">
        <v>700</v>
      </c>
      <c r="D54" t="s">
        <v>1853</v>
      </c>
      <c r="E54">
        <v>308</v>
      </c>
      <c r="F54">
        <v>41</v>
      </c>
      <c r="G54">
        <v>80</v>
      </c>
      <c r="H54">
        <v>72</v>
      </c>
      <c r="I54">
        <v>355.9</v>
      </c>
      <c r="J54">
        <v>0.109</v>
      </c>
      <c r="K54">
        <v>10</v>
      </c>
      <c r="L54">
        <v>1115.8</v>
      </c>
      <c r="M54">
        <v>1</v>
      </c>
      <c r="N54">
        <v>2087.9</v>
      </c>
      <c r="O54">
        <v>1.0310999999999999</v>
      </c>
      <c r="P54">
        <v>1.0290999999999999</v>
      </c>
      <c r="Q54">
        <v>0.93979999999999997</v>
      </c>
      <c r="R54">
        <v>2E-3</v>
      </c>
      <c r="S54">
        <v>9.0999999999999998E-2</v>
      </c>
      <c r="T54">
        <v>0.106</v>
      </c>
      <c r="U54">
        <v>1.1120000000000001</v>
      </c>
      <c r="V54">
        <v>0.95699999999999996</v>
      </c>
      <c r="W54">
        <v>4.2999999999999997E-2</v>
      </c>
      <c r="X54">
        <v>8.8620000000000001</v>
      </c>
      <c r="Y54">
        <v>2.3E-2</v>
      </c>
      <c r="Z54">
        <v>0.96109999999999995</v>
      </c>
      <c r="AA54">
        <v>1.0111000000000001</v>
      </c>
      <c r="AB54">
        <v>1.0277000000000001</v>
      </c>
      <c r="AC54">
        <v>-3.6999999999999998E-2</v>
      </c>
      <c r="AD54">
        <v>5.1000000000000004E-3</v>
      </c>
      <c r="AE54">
        <v>1.1299999999999999E-2</v>
      </c>
      <c r="AF54">
        <v>67</v>
      </c>
      <c r="AG54">
        <v>11</v>
      </c>
      <c r="AH54">
        <v>46.4</v>
      </c>
      <c r="AI54">
        <v>199</v>
      </c>
      <c r="AJ54">
        <v>74</v>
      </c>
      <c r="AK54">
        <v>1.5</v>
      </c>
      <c r="AL54">
        <v>335</v>
      </c>
      <c r="AM54">
        <v>11</v>
      </c>
      <c r="AN54">
        <v>1.3</v>
      </c>
      <c r="AO54">
        <v>302</v>
      </c>
      <c r="AP54">
        <v>25</v>
      </c>
      <c r="AQ54">
        <v>101</v>
      </c>
      <c r="AR54">
        <v>64</v>
      </c>
      <c r="AS54">
        <v>208</v>
      </c>
      <c r="AT54">
        <v>8</v>
      </c>
      <c r="AU54">
        <v>86.8</v>
      </c>
      <c r="AV54">
        <v>15.6</v>
      </c>
      <c r="AW54">
        <v>177.7</v>
      </c>
      <c r="AX54">
        <v>3.9</v>
      </c>
      <c r="AY54">
        <v>283.7</v>
      </c>
      <c r="AZ54">
        <v>73.900000000000006</v>
      </c>
      <c r="BF54">
        <f t="shared" si="9"/>
        <v>55.2</v>
      </c>
      <c r="BG54">
        <f t="shared" si="9"/>
        <v>81</v>
      </c>
      <c r="BH54" t="s">
        <v>1869</v>
      </c>
    </row>
    <row r="55" spans="1:60">
      <c r="A55" t="s">
        <v>1907</v>
      </c>
      <c r="B55" t="s">
        <v>1852</v>
      </c>
      <c r="C55">
        <v>700</v>
      </c>
      <c r="D55" t="s">
        <v>1853</v>
      </c>
      <c r="E55">
        <v>308</v>
      </c>
      <c r="F55">
        <v>41</v>
      </c>
      <c r="G55">
        <v>80</v>
      </c>
      <c r="H55">
        <v>72</v>
      </c>
      <c r="I55">
        <v>327.5</v>
      </c>
      <c r="J55">
        <v>7.8E-2</v>
      </c>
      <c r="K55">
        <v>10</v>
      </c>
      <c r="L55">
        <v>2210.6</v>
      </c>
      <c r="M55">
        <v>2.9</v>
      </c>
      <c r="N55">
        <v>3783.7</v>
      </c>
      <c r="O55">
        <v>1.0313000000000001</v>
      </c>
      <c r="P55">
        <v>1.0288999999999999</v>
      </c>
      <c r="Q55">
        <v>0.93979999999999997</v>
      </c>
      <c r="R55">
        <v>2E-3</v>
      </c>
      <c r="S55">
        <v>9.0999999999999998E-2</v>
      </c>
      <c r="T55">
        <v>0.106</v>
      </c>
      <c r="U55">
        <v>1.1120000000000001</v>
      </c>
      <c r="V55">
        <v>0.94899999999999995</v>
      </c>
      <c r="W55">
        <v>4.2999999999999997E-2</v>
      </c>
      <c r="X55">
        <v>8.8780000000000001</v>
      </c>
      <c r="Y55">
        <v>2.7E-2</v>
      </c>
      <c r="Z55">
        <v>0.95950000000000002</v>
      </c>
      <c r="AA55">
        <v>1.0119</v>
      </c>
      <c r="AB55">
        <v>1.0285</v>
      </c>
      <c r="AC55">
        <v>-3.49E-2</v>
      </c>
      <c r="AD55">
        <v>5.5999999999999999E-3</v>
      </c>
      <c r="AE55">
        <v>1.3299999999999999E-2</v>
      </c>
      <c r="AF55">
        <v>239</v>
      </c>
      <c r="AG55">
        <v>27</v>
      </c>
      <c r="AH55">
        <v>32.5</v>
      </c>
      <c r="AI55">
        <v>82</v>
      </c>
      <c r="AJ55">
        <v>61</v>
      </c>
      <c r="AK55">
        <v>1</v>
      </c>
      <c r="AL55">
        <v>334</v>
      </c>
      <c r="AM55">
        <v>10</v>
      </c>
      <c r="AN55">
        <v>1.1000000000000001</v>
      </c>
      <c r="AO55">
        <v>315</v>
      </c>
      <c r="AP55">
        <v>63</v>
      </c>
      <c r="AQ55">
        <v>112</v>
      </c>
      <c r="AR55">
        <v>25</v>
      </c>
      <c r="AS55">
        <v>206</v>
      </c>
      <c r="AT55">
        <v>9</v>
      </c>
      <c r="AU55">
        <f>227.5-180</f>
        <v>47.5</v>
      </c>
      <c r="AV55">
        <f>--9.4</f>
        <v>9.4</v>
      </c>
      <c r="AW55">
        <v>139.9</v>
      </c>
      <c r="AX55">
        <v>14.7</v>
      </c>
      <c r="AY55">
        <v>285.10000000000002</v>
      </c>
      <c r="AZ55">
        <v>72.599999999999994</v>
      </c>
      <c r="BF55">
        <f t="shared" si="9"/>
        <v>68.3</v>
      </c>
      <c r="BG55">
        <f t="shared" si="9"/>
        <v>80.3</v>
      </c>
      <c r="BH55" t="s">
        <v>1869</v>
      </c>
    </row>
    <row r="56" spans="1:60">
      <c r="A56" t="s">
        <v>1908</v>
      </c>
      <c r="B56" t="s">
        <v>1852</v>
      </c>
      <c r="C56">
        <v>700</v>
      </c>
      <c r="D56" t="s">
        <v>1853</v>
      </c>
      <c r="E56">
        <v>85</v>
      </c>
      <c r="F56">
        <v>48</v>
      </c>
      <c r="G56">
        <v>85</v>
      </c>
      <c r="H56">
        <v>48</v>
      </c>
      <c r="I56">
        <v>313.5</v>
      </c>
      <c r="J56">
        <v>0.01</v>
      </c>
      <c r="K56">
        <v>10</v>
      </c>
      <c r="L56">
        <v>196277.9</v>
      </c>
      <c r="M56">
        <v>95.8</v>
      </c>
      <c r="N56">
        <v>337245.3</v>
      </c>
      <c r="O56">
        <v>1.0351999999999999</v>
      </c>
      <c r="P56">
        <v>1.0334000000000001</v>
      </c>
      <c r="Q56">
        <v>0.93140000000000001</v>
      </c>
      <c r="R56">
        <v>2E-3</v>
      </c>
      <c r="S56">
        <v>0.104</v>
      </c>
      <c r="T56">
        <v>0.121</v>
      </c>
      <c r="U56">
        <v>1.129</v>
      </c>
      <c r="V56">
        <v>0.96599999999999997</v>
      </c>
      <c r="W56">
        <v>4.9000000000000002E-2</v>
      </c>
      <c r="X56">
        <v>10.031000000000001</v>
      </c>
      <c r="Y56">
        <v>1.7999999999999999E-2</v>
      </c>
      <c r="Z56">
        <v>1.0346</v>
      </c>
      <c r="AA56">
        <v>1.0335000000000001</v>
      </c>
      <c r="AB56">
        <v>0.93179999999999996</v>
      </c>
      <c r="AC56">
        <v>8.9999999999999998E-4</v>
      </c>
      <c r="AD56">
        <v>4.1999999999999997E-3</v>
      </c>
      <c r="AE56">
        <v>-5.1999999999999998E-3</v>
      </c>
      <c r="AF56">
        <v>103</v>
      </c>
      <c r="AG56">
        <v>17</v>
      </c>
      <c r="AH56">
        <v>6.3</v>
      </c>
      <c r="AI56">
        <v>211</v>
      </c>
      <c r="AJ56">
        <v>46</v>
      </c>
      <c r="AK56">
        <v>0.1</v>
      </c>
      <c r="AL56">
        <v>359</v>
      </c>
      <c r="AM56">
        <v>40</v>
      </c>
      <c r="AN56">
        <v>0.1</v>
      </c>
      <c r="AO56">
        <v>205</v>
      </c>
      <c r="AP56">
        <v>2</v>
      </c>
      <c r="AQ56">
        <v>115</v>
      </c>
      <c r="AR56">
        <v>3</v>
      </c>
      <c r="AS56">
        <v>320</v>
      </c>
      <c r="AT56">
        <v>86</v>
      </c>
      <c r="AU56">
        <f>180+109.5</f>
        <v>289.5</v>
      </c>
      <c r="AV56">
        <f>--1.4</f>
        <v>1.4</v>
      </c>
      <c r="AW56">
        <v>199.2</v>
      </c>
      <c r="AX56">
        <v>3.7</v>
      </c>
      <c r="AY56">
        <v>52.8</v>
      </c>
      <c r="AZ56">
        <v>86.4</v>
      </c>
      <c r="BF56">
        <f t="shared" si="9"/>
        <v>81.5</v>
      </c>
      <c r="BG56">
        <f t="shared" si="9"/>
        <v>76.2</v>
      </c>
      <c r="BH56" t="s">
        <v>1869</v>
      </c>
    </row>
    <row r="57" spans="1:60">
      <c r="BF57">
        <f t="shared" si="9"/>
        <v>62.7</v>
      </c>
      <c r="BG57">
        <f t="shared" si="9"/>
        <v>72.400000000000006</v>
      </c>
      <c r="BH57" t="s">
        <v>1869</v>
      </c>
    </row>
    <row r="58" spans="1:60">
      <c r="BF58">
        <f t="shared" si="9"/>
        <v>69.3</v>
      </c>
      <c r="BG58">
        <f t="shared" si="9"/>
        <v>72.599999999999994</v>
      </c>
      <c r="BH58" t="s">
        <v>1869</v>
      </c>
    </row>
    <row r="59" spans="1:60">
      <c r="BF59">
        <f t="shared" si="9"/>
        <v>14.400000000000006</v>
      </c>
      <c r="BG59">
        <f t="shared" si="9"/>
        <v>24.8</v>
      </c>
      <c r="BH59" t="s">
        <v>1869</v>
      </c>
    </row>
    <row r="60" spans="1:60">
      <c r="BF60">
        <f t="shared" si="9"/>
        <v>246.5</v>
      </c>
      <c r="BG60">
        <f t="shared" si="9"/>
        <v>86.1</v>
      </c>
      <c r="BH60" t="s">
        <v>1869</v>
      </c>
    </row>
    <row r="61" spans="1:60">
      <c r="BF61">
        <f t="shared" si="9"/>
        <v>0.1</v>
      </c>
      <c r="BG61">
        <f t="shared" si="9"/>
        <v>82.4</v>
      </c>
      <c r="BH61" t="s">
        <v>1869</v>
      </c>
    </row>
    <row r="62" spans="1:60">
      <c r="BF62">
        <f t="shared" si="9"/>
        <v>14</v>
      </c>
      <c r="BG62">
        <f t="shared" si="9"/>
        <v>80.099999999999994</v>
      </c>
      <c r="BH62" t="s">
        <v>1869</v>
      </c>
    </row>
    <row r="63" spans="1:60">
      <c r="BF63">
        <f t="shared" ref="BF63:BG78" si="10">AY39</f>
        <v>10.8</v>
      </c>
      <c r="BG63">
        <f t="shared" si="10"/>
        <v>79.2</v>
      </c>
      <c r="BH63" t="s">
        <v>1869</v>
      </c>
    </row>
    <row r="64" spans="1:60">
      <c r="BF64">
        <f t="shared" si="10"/>
        <v>349.5</v>
      </c>
      <c r="BG64">
        <f t="shared" si="10"/>
        <v>80.8</v>
      </c>
      <c r="BH64" t="s">
        <v>1869</v>
      </c>
    </row>
    <row r="65" spans="58:60">
      <c r="BF65">
        <f t="shared" si="10"/>
        <v>130.4</v>
      </c>
      <c r="BG65">
        <f t="shared" si="10"/>
        <v>69.2</v>
      </c>
      <c r="BH65" t="s">
        <v>1869</v>
      </c>
    </row>
    <row r="66" spans="58:60">
      <c r="BF66">
        <f t="shared" si="10"/>
        <v>23.6</v>
      </c>
      <c r="BG66">
        <f t="shared" si="10"/>
        <v>90</v>
      </c>
      <c r="BH66" t="s">
        <v>1869</v>
      </c>
    </row>
    <row r="67" spans="58:60">
      <c r="BF67">
        <f t="shared" si="10"/>
        <v>357.4</v>
      </c>
      <c r="BG67">
        <f t="shared" si="10"/>
        <v>86.8</v>
      </c>
      <c r="BH67" t="s">
        <v>1869</v>
      </c>
    </row>
    <row r="68" spans="58:60">
      <c r="BF68">
        <f t="shared" si="10"/>
        <v>61.4</v>
      </c>
      <c r="BG68">
        <f t="shared" si="10"/>
        <v>54.7</v>
      </c>
      <c r="BH68" t="s">
        <v>1869</v>
      </c>
    </row>
    <row r="69" spans="58:60">
      <c r="BF69">
        <f t="shared" si="10"/>
        <v>34</v>
      </c>
      <c r="BG69">
        <f t="shared" si="10"/>
        <v>76.099999999999994</v>
      </c>
      <c r="BH69" t="s">
        <v>1869</v>
      </c>
    </row>
    <row r="70" spans="58:60">
      <c r="BF70">
        <f t="shared" si="10"/>
        <v>148.69999999999999</v>
      </c>
      <c r="BG70">
        <f t="shared" si="10"/>
        <v>22.3</v>
      </c>
      <c r="BH70" t="s">
        <v>1869</v>
      </c>
    </row>
    <row r="71" spans="58:60">
      <c r="BF71">
        <f t="shared" si="10"/>
        <v>248.7</v>
      </c>
      <c r="BG71">
        <f t="shared" si="10"/>
        <v>77.599999999999994</v>
      </c>
      <c r="BH71" t="s">
        <v>1869</v>
      </c>
    </row>
    <row r="72" spans="58:60">
      <c r="BF72">
        <f t="shared" si="10"/>
        <v>355.3</v>
      </c>
      <c r="BG72">
        <f t="shared" si="10"/>
        <v>67.900000000000006</v>
      </c>
      <c r="BH72" t="s">
        <v>1869</v>
      </c>
    </row>
    <row r="73" spans="58:60">
      <c r="BF73">
        <f t="shared" si="10"/>
        <v>350</v>
      </c>
      <c r="BG73">
        <f t="shared" si="10"/>
        <v>70</v>
      </c>
      <c r="BH73" t="s">
        <v>1869</v>
      </c>
    </row>
    <row r="74" spans="58:60">
      <c r="BF74">
        <f t="shared" si="10"/>
        <v>80.400000000000006</v>
      </c>
      <c r="BG74">
        <f t="shared" si="10"/>
        <v>8.5</v>
      </c>
      <c r="BH74" t="s">
        <v>1869</v>
      </c>
    </row>
    <row r="75" spans="58:60">
      <c r="BF75">
        <f t="shared" si="10"/>
        <v>13.300000000000011</v>
      </c>
      <c r="BG75">
        <f t="shared" si="10"/>
        <v>69.400000000000006</v>
      </c>
      <c r="BH75" t="s">
        <v>1869</v>
      </c>
    </row>
    <row r="76" spans="58:60">
      <c r="BF76">
        <f t="shared" si="10"/>
        <v>265.3</v>
      </c>
      <c r="BG76">
        <f t="shared" si="10"/>
        <v>81.400000000000006</v>
      </c>
      <c r="BH76" t="s">
        <v>1869</v>
      </c>
    </row>
    <row r="77" spans="58:60">
      <c r="BF77">
        <f t="shared" si="10"/>
        <v>320.60000000000002</v>
      </c>
      <c r="BG77">
        <f t="shared" si="10"/>
        <v>65</v>
      </c>
      <c r="BH77" t="s">
        <v>1869</v>
      </c>
    </row>
    <row r="78" spans="58:60">
      <c r="BF78">
        <f t="shared" si="10"/>
        <v>283.7</v>
      </c>
      <c r="BG78">
        <f t="shared" si="10"/>
        <v>73.900000000000006</v>
      </c>
      <c r="BH78" t="s">
        <v>1869</v>
      </c>
    </row>
    <row r="79" spans="58:60">
      <c r="BF79">
        <f t="shared" ref="BF79:BG80" si="11">AY55</f>
        <v>285.10000000000002</v>
      </c>
      <c r="BG79">
        <f t="shared" si="11"/>
        <v>72.599999999999994</v>
      </c>
      <c r="BH79" t="s">
        <v>1869</v>
      </c>
    </row>
    <row r="80" spans="58:60">
      <c r="BF80">
        <f t="shared" si="11"/>
        <v>52.8</v>
      </c>
      <c r="BG80">
        <f t="shared" si="11"/>
        <v>86.4</v>
      </c>
      <c r="BH80" t="s">
        <v>1869</v>
      </c>
    </row>
    <row r="82" spans="1:57">
      <c r="BC82" t="s">
        <v>1936</v>
      </c>
    </row>
    <row r="83" spans="1:57">
      <c r="BC83" t="s">
        <v>36</v>
      </c>
      <c r="BD83" t="s">
        <v>37</v>
      </c>
    </row>
    <row r="84" spans="1:57">
      <c r="A84" t="s">
        <v>1804</v>
      </c>
      <c r="B84" t="s">
        <v>1805</v>
      </c>
      <c r="C84" t="s">
        <v>1806</v>
      </c>
      <c r="D84" t="s">
        <v>1807</v>
      </c>
      <c r="E84" t="s">
        <v>1808</v>
      </c>
      <c r="F84" t="s">
        <v>1330</v>
      </c>
      <c r="G84" t="s">
        <v>1909</v>
      </c>
      <c r="H84" t="s">
        <v>1910</v>
      </c>
      <c r="I84" t="s">
        <v>1811</v>
      </c>
      <c r="J84" t="s">
        <v>1812</v>
      </c>
      <c r="K84" t="s">
        <v>1813</v>
      </c>
      <c r="L84" t="s">
        <v>1814</v>
      </c>
      <c r="M84" t="s">
        <v>1815</v>
      </c>
      <c r="N84" t="s">
        <v>1816</v>
      </c>
      <c r="O84" t="s">
        <v>1333</v>
      </c>
      <c r="P84" t="s">
        <v>1334</v>
      </c>
      <c r="Q84" t="s">
        <v>1335</v>
      </c>
      <c r="R84" t="s">
        <v>1817</v>
      </c>
      <c r="S84" t="s">
        <v>1818</v>
      </c>
      <c r="T84" t="s">
        <v>1819</v>
      </c>
      <c r="U84" t="s">
        <v>1820</v>
      </c>
      <c r="V84" t="s">
        <v>1340</v>
      </c>
      <c r="W84" t="s">
        <v>309</v>
      </c>
      <c r="X84" t="s">
        <v>1821</v>
      </c>
      <c r="Y84" t="s">
        <v>1338</v>
      </c>
      <c r="Z84" t="s">
        <v>1822</v>
      </c>
      <c r="AA84" t="s">
        <v>1823</v>
      </c>
      <c r="AB84" t="s">
        <v>1824</v>
      </c>
      <c r="AC84" t="s">
        <v>1825</v>
      </c>
      <c r="AD84" t="s">
        <v>1826</v>
      </c>
      <c r="AE84" t="s">
        <v>1827</v>
      </c>
      <c r="AF84" t="s">
        <v>1828</v>
      </c>
      <c r="AG84" t="s">
        <v>1829</v>
      </c>
      <c r="AH84" t="s">
        <v>1830</v>
      </c>
      <c r="AI84" t="s">
        <v>1831</v>
      </c>
      <c r="AJ84" t="s">
        <v>1832</v>
      </c>
      <c r="AK84" t="s">
        <v>1833</v>
      </c>
      <c r="AL84" t="s">
        <v>1834</v>
      </c>
      <c r="AM84" t="s">
        <v>1835</v>
      </c>
      <c r="AN84" t="s">
        <v>1836</v>
      </c>
      <c r="AO84" t="s">
        <v>1837</v>
      </c>
      <c r="AP84" t="s">
        <v>1838</v>
      </c>
      <c r="AQ84" t="s">
        <v>1839</v>
      </c>
      <c r="AR84" t="s">
        <v>1840</v>
      </c>
      <c r="AS84" t="s">
        <v>1841</v>
      </c>
      <c r="AT84" t="s">
        <v>1842</v>
      </c>
      <c r="AU84" t="s">
        <v>1843</v>
      </c>
      <c r="AV84" t="s">
        <v>1844</v>
      </c>
      <c r="AW84" t="s">
        <v>1845</v>
      </c>
      <c r="AX84" t="s">
        <v>1846</v>
      </c>
      <c r="AY84" t="s">
        <v>1847</v>
      </c>
      <c r="AZ84" t="s">
        <v>1848</v>
      </c>
    </row>
    <row r="85" spans="1:57">
      <c r="A85" t="s">
        <v>1911</v>
      </c>
      <c r="B85" t="s">
        <v>1852</v>
      </c>
      <c r="C85">
        <v>700</v>
      </c>
      <c r="D85" t="s">
        <v>1853</v>
      </c>
      <c r="E85">
        <v>40</v>
      </c>
      <c r="F85">
        <v>14</v>
      </c>
      <c r="G85">
        <v>53</v>
      </c>
      <c r="H85">
        <v>20</v>
      </c>
      <c r="I85">
        <v>240.1</v>
      </c>
      <c r="J85">
        <v>8.0000000000000002E-3</v>
      </c>
      <c r="K85">
        <v>10</v>
      </c>
      <c r="L85">
        <v>2070.6999999999998</v>
      </c>
      <c r="M85">
        <v>1908.9</v>
      </c>
      <c r="N85">
        <v>718.8</v>
      </c>
      <c r="O85">
        <v>1.0049999999999999</v>
      </c>
      <c r="P85">
        <v>0.99929999999999997</v>
      </c>
      <c r="Q85">
        <v>0.99570000000000003</v>
      </c>
      <c r="R85">
        <v>6.0000000000000001E-3</v>
      </c>
      <c r="S85">
        <v>4.0000000000000001E-3</v>
      </c>
      <c r="T85">
        <v>8.9999999999999993E-3</v>
      </c>
      <c r="U85">
        <v>1.0089999999999999</v>
      </c>
      <c r="V85">
        <v>-0.22600000000000001</v>
      </c>
      <c r="W85">
        <v>4.0000000000000001E-3</v>
      </c>
      <c r="X85">
        <v>0.92100000000000004</v>
      </c>
      <c r="Y85">
        <v>0.88600000000000001</v>
      </c>
      <c r="Z85">
        <v>1.0047999999999999</v>
      </c>
      <c r="AA85">
        <v>0.99909999999999999</v>
      </c>
      <c r="AB85">
        <v>0.99609999999999999</v>
      </c>
      <c r="AC85">
        <v>4.0000000000000002E-4</v>
      </c>
      <c r="AD85">
        <v>8.0000000000000004E-4</v>
      </c>
      <c r="AE85">
        <v>-1.1000000000000001E-3</v>
      </c>
      <c r="AF85">
        <v>225</v>
      </c>
      <c r="AG85">
        <v>6</v>
      </c>
      <c r="AH85">
        <v>1.7</v>
      </c>
      <c r="AI85">
        <v>132</v>
      </c>
      <c r="AJ85">
        <v>28</v>
      </c>
      <c r="AK85">
        <v>2.6</v>
      </c>
      <c r="AL85">
        <v>326</v>
      </c>
      <c r="AM85">
        <v>61</v>
      </c>
      <c r="AN85">
        <v>1</v>
      </c>
      <c r="AO85">
        <v>183</v>
      </c>
      <c r="AP85">
        <v>7</v>
      </c>
      <c r="AQ85">
        <v>92</v>
      </c>
      <c r="AR85">
        <v>14</v>
      </c>
      <c r="AS85">
        <v>299</v>
      </c>
      <c r="AT85">
        <v>74</v>
      </c>
      <c r="AU85">
        <v>223.4</v>
      </c>
      <c r="AV85">
        <v>2.9</v>
      </c>
      <c r="AW85">
        <v>133.19999999999999</v>
      </c>
      <c r="AX85">
        <v>8.3000000000000007</v>
      </c>
      <c r="AY85">
        <v>332.2</v>
      </c>
      <c r="AZ85">
        <v>80.900000000000006</v>
      </c>
      <c r="BC85">
        <f>AU85</f>
        <v>223.4</v>
      </c>
      <c r="BD85">
        <f>AV85</f>
        <v>2.9</v>
      </c>
      <c r="BE85" t="s">
        <v>1912</v>
      </c>
    </row>
    <row r="86" spans="1:57">
      <c r="A86" t="s">
        <v>1913</v>
      </c>
      <c r="B86" t="s">
        <v>1852</v>
      </c>
      <c r="C86">
        <v>700</v>
      </c>
      <c r="D86" t="s">
        <v>1853</v>
      </c>
      <c r="E86">
        <v>130</v>
      </c>
      <c r="F86">
        <v>14</v>
      </c>
      <c r="G86">
        <v>53</v>
      </c>
      <c r="H86">
        <v>20</v>
      </c>
      <c r="I86">
        <v>374.7</v>
      </c>
      <c r="J86">
        <v>8.6999999999999994E-2</v>
      </c>
      <c r="K86">
        <v>10</v>
      </c>
      <c r="L86">
        <v>1364.8</v>
      </c>
      <c r="M86">
        <v>167.2</v>
      </c>
      <c r="N86">
        <v>1795.3</v>
      </c>
      <c r="O86">
        <v>1.0344</v>
      </c>
      <c r="P86">
        <v>1.0146999999999999</v>
      </c>
      <c r="Q86">
        <v>0.95089999999999997</v>
      </c>
      <c r="R86">
        <v>1.9E-2</v>
      </c>
      <c r="S86">
        <v>6.5000000000000002E-2</v>
      </c>
      <c r="T86">
        <v>8.7999999999999995E-2</v>
      </c>
      <c r="U86">
        <v>1.0920000000000001</v>
      </c>
      <c r="V86">
        <v>0.54300000000000004</v>
      </c>
      <c r="W86">
        <v>3.5999999999999997E-2</v>
      </c>
      <c r="X86">
        <v>8.0760000000000005</v>
      </c>
      <c r="Y86">
        <v>0.26700000000000002</v>
      </c>
      <c r="Z86">
        <v>1.0121</v>
      </c>
      <c r="AA86">
        <v>1.0291999999999999</v>
      </c>
      <c r="AB86">
        <v>0.9587</v>
      </c>
      <c r="AC86">
        <v>-1.4E-3</v>
      </c>
      <c r="AD86">
        <v>-1.72E-2</v>
      </c>
      <c r="AE86">
        <v>1.61E-2</v>
      </c>
      <c r="AF86">
        <v>54</v>
      </c>
      <c r="AG86">
        <v>2</v>
      </c>
      <c r="AH86">
        <v>5.2</v>
      </c>
      <c r="AI86">
        <v>145</v>
      </c>
      <c r="AJ86">
        <v>14</v>
      </c>
      <c r="AK86">
        <v>1.6</v>
      </c>
      <c r="AL86">
        <v>317</v>
      </c>
      <c r="AM86">
        <v>76</v>
      </c>
      <c r="AN86">
        <v>1.3</v>
      </c>
      <c r="AO86">
        <v>285</v>
      </c>
      <c r="AP86">
        <v>15</v>
      </c>
      <c r="AQ86">
        <v>18</v>
      </c>
      <c r="AR86">
        <v>10</v>
      </c>
      <c r="AS86">
        <v>140</v>
      </c>
      <c r="AT86">
        <v>71</v>
      </c>
      <c r="AU86">
        <v>54.6</v>
      </c>
      <c r="AV86">
        <v>1.5</v>
      </c>
      <c r="AW86">
        <f>145+180</f>
        <v>325</v>
      </c>
      <c r="AX86">
        <f>--6</f>
        <v>6</v>
      </c>
      <c r="AY86">
        <v>156.4</v>
      </c>
      <c r="AZ86">
        <v>83.8</v>
      </c>
      <c r="BC86">
        <f t="shared" ref="BC86:BD107" si="12">AU86</f>
        <v>54.6</v>
      </c>
      <c r="BD86">
        <f t="shared" si="12"/>
        <v>1.5</v>
      </c>
      <c r="BE86" t="s">
        <v>1912</v>
      </c>
    </row>
    <row r="87" spans="1:57">
      <c r="A87" t="s">
        <v>1914</v>
      </c>
      <c r="B87" t="s">
        <v>1852</v>
      </c>
      <c r="C87">
        <v>700</v>
      </c>
      <c r="D87" t="s">
        <v>1853</v>
      </c>
      <c r="E87">
        <v>35</v>
      </c>
      <c r="F87">
        <v>13</v>
      </c>
      <c r="G87">
        <v>53</v>
      </c>
      <c r="H87">
        <v>20</v>
      </c>
      <c r="I87">
        <v>258.60000000000002</v>
      </c>
      <c r="J87">
        <v>3.7999999999999999E-2</v>
      </c>
      <c r="K87">
        <v>10</v>
      </c>
      <c r="L87">
        <v>8506.7000000000007</v>
      </c>
      <c r="M87">
        <v>767.8</v>
      </c>
      <c r="N87">
        <v>11594.3</v>
      </c>
      <c r="O87">
        <v>1.0347</v>
      </c>
      <c r="P87">
        <v>1.0168999999999999</v>
      </c>
      <c r="Q87">
        <v>0.94840000000000002</v>
      </c>
      <c r="R87">
        <v>1.7000000000000001E-2</v>
      </c>
      <c r="S87">
        <v>7.0000000000000007E-2</v>
      </c>
      <c r="T87">
        <v>9.1999999999999998E-2</v>
      </c>
      <c r="U87">
        <v>1.097</v>
      </c>
      <c r="V87">
        <v>0.60199999999999998</v>
      </c>
      <c r="W87">
        <v>3.6999999999999998E-2</v>
      </c>
      <c r="X87">
        <v>8.343</v>
      </c>
      <c r="Y87">
        <v>0.22900000000000001</v>
      </c>
      <c r="Z87">
        <v>1.0336000000000001</v>
      </c>
      <c r="AA87">
        <v>1.0157</v>
      </c>
      <c r="AB87">
        <v>0.95069999999999999</v>
      </c>
      <c r="AC87">
        <v>4.5999999999999999E-3</v>
      </c>
      <c r="AD87">
        <v>1.17E-2</v>
      </c>
      <c r="AE87">
        <v>-4.1000000000000003E-3</v>
      </c>
      <c r="AF87">
        <v>48</v>
      </c>
      <c r="AG87">
        <v>2</v>
      </c>
      <c r="AH87">
        <v>2.6</v>
      </c>
      <c r="AI87">
        <v>139</v>
      </c>
      <c r="AJ87">
        <v>23</v>
      </c>
      <c r="AK87">
        <v>0.7</v>
      </c>
      <c r="AL87">
        <v>313</v>
      </c>
      <c r="AM87">
        <v>67</v>
      </c>
      <c r="AN87">
        <v>0.5</v>
      </c>
      <c r="AO87">
        <v>193</v>
      </c>
      <c r="AP87">
        <v>1</v>
      </c>
      <c r="AQ87">
        <v>103</v>
      </c>
      <c r="AR87">
        <v>11</v>
      </c>
      <c r="AS87">
        <v>288</v>
      </c>
      <c r="AT87">
        <v>79</v>
      </c>
      <c r="AU87">
        <v>49</v>
      </c>
      <c r="AV87">
        <v>3.6</v>
      </c>
      <c r="AW87">
        <v>139.30000000000001</v>
      </c>
      <c r="AX87">
        <v>3</v>
      </c>
      <c r="AY87">
        <v>267.60000000000002</v>
      </c>
      <c r="AZ87">
        <v>85.3</v>
      </c>
      <c r="BC87">
        <f t="shared" si="12"/>
        <v>49</v>
      </c>
      <c r="BD87">
        <f t="shared" si="12"/>
        <v>3.6</v>
      </c>
      <c r="BE87" t="s">
        <v>1912</v>
      </c>
    </row>
    <row r="88" spans="1:57">
      <c r="A88" t="s">
        <v>1915</v>
      </c>
      <c r="B88" t="s">
        <v>1852</v>
      </c>
      <c r="C88">
        <v>700</v>
      </c>
      <c r="D88" t="s">
        <v>1853</v>
      </c>
      <c r="E88">
        <v>50</v>
      </c>
      <c r="F88">
        <v>20</v>
      </c>
      <c r="G88">
        <v>50</v>
      </c>
      <c r="H88">
        <v>20</v>
      </c>
      <c r="I88">
        <v>297.10000000000002</v>
      </c>
      <c r="J88">
        <v>0.01</v>
      </c>
      <c r="K88">
        <v>10</v>
      </c>
      <c r="L88">
        <v>94272.8</v>
      </c>
      <c r="M88">
        <v>11259.7</v>
      </c>
      <c r="N88">
        <v>128230.2</v>
      </c>
      <c r="O88">
        <v>1.0321</v>
      </c>
      <c r="P88">
        <v>1.0142</v>
      </c>
      <c r="Q88">
        <v>0.95369999999999999</v>
      </c>
      <c r="R88">
        <v>1.7999999999999999E-2</v>
      </c>
      <c r="S88">
        <v>6.2E-2</v>
      </c>
      <c r="T88">
        <v>8.3000000000000004E-2</v>
      </c>
      <c r="U88">
        <v>1.087</v>
      </c>
      <c r="V88">
        <v>0.55700000000000005</v>
      </c>
      <c r="W88">
        <v>3.4000000000000002E-2</v>
      </c>
      <c r="X88">
        <v>7.601</v>
      </c>
      <c r="Y88">
        <v>0.25800000000000001</v>
      </c>
      <c r="Z88">
        <v>1.0315000000000001</v>
      </c>
      <c r="AA88">
        <v>1.0141</v>
      </c>
      <c r="AB88">
        <v>0.95450000000000002</v>
      </c>
      <c r="AC88">
        <v>-4.0000000000000002E-4</v>
      </c>
      <c r="AD88">
        <v>3.0000000000000001E-3</v>
      </c>
      <c r="AE88">
        <v>-7.1000000000000004E-3</v>
      </c>
      <c r="AF88">
        <v>230</v>
      </c>
      <c r="AG88">
        <v>6</v>
      </c>
      <c r="AH88">
        <v>0.7</v>
      </c>
      <c r="AI88">
        <v>137</v>
      </c>
      <c r="AJ88">
        <v>23</v>
      </c>
      <c r="AK88">
        <v>0.2</v>
      </c>
      <c r="AL88">
        <v>333</v>
      </c>
      <c r="AM88">
        <v>67</v>
      </c>
      <c r="AN88">
        <v>0.2</v>
      </c>
      <c r="AO88">
        <v>178</v>
      </c>
      <c r="AP88">
        <v>5</v>
      </c>
      <c r="AQ88">
        <v>88</v>
      </c>
      <c r="AR88">
        <v>3</v>
      </c>
      <c r="AS88">
        <v>332</v>
      </c>
      <c r="AT88">
        <v>84</v>
      </c>
      <c r="AU88">
        <v>227.9</v>
      </c>
      <c r="AV88">
        <v>5.6</v>
      </c>
      <c r="AW88">
        <v>137.19999999999999</v>
      </c>
      <c r="AX88">
        <v>3</v>
      </c>
      <c r="AY88">
        <v>24</v>
      </c>
      <c r="AZ88">
        <v>84.4</v>
      </c>
      <c r="BC88">
        <f t="shared" si="12"/>
        <v>227.9</v>
      </c>
      <c r="BD88">
        <f t="shared" si="12"/>
        <v>5.6</v>
      </c>
      <c r="BE88" t="s">
        <v>1912</v>
      </c>
    </row>
    <row r="89" spans="1:57">
      <c r="A89" s="7" t="s">
        <v>1916</v>
      </c>
      <c r="B89" s="7" t="s">
        <v>1852</v>
      </c>
      <c r="C89" s="7">
        <v>700</v>
      </c>
      <c r="D89" s="7" t="s">
        <v>1853</v>
      </c>
      <c r="E89" s="7">
        <v>50</v>
      </c>
      <c r="F89" s="7">
        <v>20</v>
      </c>
      <c r="G89" s="7">
        <v>50</v>
      </c>
      <c r="H89" s="7">
        <v>20</v>
      </c>
      <c r="I89" s="7">
        <v>259.8</v>
      </c>
      <c r="J89" s="7">
        <v>5.0000000000000001E-3</v>
      </c>
      <c r="K89" s="7">
        <v>10</v>
      </c>
      <c r="L89" s="7">
        <v>358078.8</v>
      </c>
      <c r="M89" s="7">
        <v>42210.7</v>
      </c>
      <c r="N89" s="7">
        <v>494732</v>
      </c>
      <c r="O89" s="7">
        <v>1.0326</v>
      </c>
      <c r="P89" s="7">
        <v>1.0145999999999999</v>
      </c>
      <c r="Q89" s="7">
        <v>0.95279999999999998</v>
      </c>
      <c r="R89" s="7">
        <v>1.7999999999999999E-2</v>
      </c>
      <c r="S89" s="7">
        <v>6.3E-2</v>
      </c>
      <c r="T89" s="7">
        <v>8.5000000000000006E-2</v>
      </c>
      <c r="U89" s="7">
        <v>1.0880000000000001</v>
      </c>
      <c r="V89" s="7">
        <v>0.56299999999999994</v>
      </c>
      <c r="W89" s="7">
        <v>3.4000000000000002E-2</v>
      </c>
      <c r="X89" s="7">
        <v>7.7229999999999999</v>
      </c>
      <c r="Y89" s="7">
        <v>0.254</v>
      </c>
      <c r="Z89" s="7">
        <v>1.0304</v>
      </c>
      <c r="AA89" s="7">
        <v>1.0141</v>
      </c>
      <c r="AB89" s="7">
        <v>0.95550000000000002</v>
      </c>
      <c r="AC89" s="7">
        <v>-1.5E-3</v>
      </c>
      <c r="AD89" s="7">
        <v>5.4999999999999997E-3</v>
      </c>
      <c r="AE89" s="7">
        <v>1.29E-2</v>
      </c>
      <c r="AF89" s="7">
        <v>45</v>
      </c>
      <c r="AG89" s="7">
        <v>7.8</v>
      </c>
      <c r="AH89" s="7"/>
      <c r="AI89" s="7">
        <v>138.9</v>
      </c>
      <c r="AJ89" s="7">
        <v>26</v>
      </c>
      <c r="AK89" s="7"/>
      <c r="AL89" s="7">
        <v>298.5</v>
      </c>
      <c r="AM89" s="7">
        <v>63</v>
      </c>
      <c r="AN89" s="7">
        <v>0.1</v>
      </c>
      <c r="AO89" s="7">
        <v>358</v>
      </c>
      <c r="AP89" s="7">
        <v>9</v>
      </c>
      <c r="AQ89" s="7">
        <v>89</v>
      </c>
      <c r="AR89" s="7">
        <v>6</v>
      </c>
      <c r="AS89" s="7">
        <v>209</v>
      </c>
      <c r="AT89" s="7">
        <v>79</v>
      </c>
      <c r="AU89" s="7">
        <v>48</v>
      </c>
      <c r="AV89" s="7">
        <v>9</v>
      </c>
      <c r="AW89" s="7">
        <v>139</v>
      </c>
      <c r="AX89" s="7">
        <v>6</v>
      </c>
      <c r="AY89" s="7">
        <v>259</v>
      </c>
      <c r="AZ89" s="7">
        <v>79</v>
      </c>
      <c r="BA89" s="7"/>
      <c r="BB89" s="7"/>
      <c r="BC89">
        <f t="shared" si="12"/>
        <v>48</v>
      </c>
      <c r="BD89">
        <f t="shared" si="12"/>
        <v>9</v>
      </c>
      <c r="BE89" t="s">
        <v>1912</v>
      </c>
    </row>
    <row r="90" spans="1:57">
      <c r="A90" s="7" t="s">
        <v>1917</v>
      </c>
      <c r="B90" s="7" t="s">
        <v>1852</v>
      </c>
      <c r="C90" s="7">
        <v>700</v>
      </c>
      <c r="D90" s="7" t="s">
        <v>1853</v>
      </c>
      <c r="E90" s="7">
        <v>55</v>
      </c>
      <c r="F90" s="7">
        <v>20</v>
      </c>
      <c r="G90" s="7">
        <v>50</v>
      </c>
      <c r="H90" s="7">
        <v>20</v>
      </c>
      <c r="I90" s="7">
        <v>333.9</v>
      </c>
      <c r="J90" s="7">
        <v>1.4E-2</v>
      </c>
      <c r="K90" s="7">
        <v>10</v>
      </c>
      <c r="L90" s="7">
        <v>44166.6</v>
      </c>
      <c r="M90" s="7">
        <v>5850.9</v>
      </c>
      <c r="N90" s="7">
        <v>58656.2</v>
      </c>
      <c r="O90" s="7">
        <v>1.0315000000000001</v>
      </c>
      <c r="P90" s="7">
        <v>1.0132000000000001</v>
      </c>
      <c r="Q90" s="7">
        <v>0.95540000000000003</v>
      </c>
      <c r="R90" s="7">
        <v>1.7999999999999999E-2</v>
      </c>
      <c r="S90" s="7">
        <v>5.8999999999999997E-2</v>
      </c>
      <c r="T90" s="7">
        <v>0.08</v>
      </c>
      <c r="U90" s="7">
        <v>1.083</v>
      </c>
      <c r="V90" s="7">
        <v>0.53400000000000003</v>
      </c>
      <c r="W90" s="7">
        <v>3.2000000000000001E-2</v>
      </c>
      <c r="X90" s="7">
        <v>7.3769999999999998</v>
      </c>
      <c r="Y90" s="7">
        <v>0.27300000000000002</v>
      </c>
      <c r="Z90" s="7">
        <v>1.0301</v>
      </c>
      <c r="AA90" s="7">
        <v>1.0127999999999999</v>
      </c>
      <c r="AB90" s="7">
        <v>0.95709999999999995</v>
      </c>
      <c r="AC90" s="7">
        <v>-1E-3</v>
      </c>
      <c r="AD90" s="7">
        <v>5.7000000000000002E-3</v>
      </c>
      <c r="AE90" s="7">
        <v>-9.4000000000000004E-3</v>
      </c>
      <c r="AF90" s="7">
        <v>233</v>
      </c>
      <c r="AG90" s="7">
        <v>9</v>
      </c>
      <c r="AH90" s="7">
        <v>1</v>
      </c>
      <c r="AI90" s="7">
        <v>139</v>
      </c>
      <c r="AJ90" s="7">
        <v>25</v>
      </c>
      <c r="AK90" s="7">
        <v>0.3</v>
      </c>
      <c r="AL90" s="7">
        <v>341</v>
      </c>
      <c r="AM90" s="7">
        <v>64</v>
      </c>
      <c r="AN90" s="7">
        <v>0.2</v>
      </c>
      <c r="AO90" s="7">
        <v>175</v>
      </c>
      <c r="AP90" s="7">
        <v>8</v>
      </c>
      <c r="AQ90" s="7">
        <v>84</v>
      </c>
      <c r="AR90" s="7">
        <v>5</v>
      </c>
      <c r="AS90" s="7">
        <v>322</v>
      </c>
      <c r="AT90" s="7">
        <v>81</v>
      </c>
      <c r="AU90" s="7">
        <v>229.7</v>
      </c>
      <c r="AV90" s="7">
        <v>9.5</v>
      </c>
      <c r="AW90" s="7">
        <v>139.1</v>
      </c>
      <c r="AX90" s="7">
        <v>5</v>
      </c>
      <c r="AY90" s="7">
        <v>23.8</v>
      </c>
      <c r="AZ90" s="7">
        <v>79.900000000000006</v>
      </c>
      <c r="BA90" s="7"/>
      <c r="BB90" s="7"/>
      <c r="BC90">
        <f t="shared" si="12"/>
        <v>229.7</v>
      </c>
      <c r="BD90">
        <f t="shared" si="12"/>
        <v>9.5</v>
      </c>
      <c r="BE90" t="s">
        <v>1912</v>
      </c>
    </row>
    <row r="91" spans="1:57">
      <c r="A91" s="7" t="s">
        <v>1918</v>
      </c>
      <c r="B91" s="7" t="s">
        <v>1852</v>
      </c>
      <c r="C91" s="7">
        <v>700</v>
      </c>
      <c r="D91" s="7" t="s">
        <v>1853</v>
      </c>
      <c r="E91" s="7">
        <v>39</v>
      </c>
      <c r="F91" s="7">
        <v>10</v>
      </c>
      <c r="G91" s="7">
        <v>39</v>
      </c>
      <c r="H91" s="7">
        <v>10</v>
      </c>
      <c r="I91" s="7">
        <v>299.2</v>
      </c>
      <c r="J91" s="7">
        <v>4.1000000000000002E-2</v>
      </c>
      <c r="K91" s="7">
        <v>10</v>
      </c>
      <c r="L91" s="7">
        <v>7934.8</v>
      </c>
      <c r="M91" s="7">
        <v>307.39999999999998</v>
      </c>
      <c r="N91" s="7">
        <v>11289.8</v>
      </c>
      <c r="O91" s="7">
        <v>1.0337000000000001</v>
      </c>
      <c r="P91" s="7">
        <v>1.0204</v>
      </c>
      <c r="Q91" s="7">
        <v>0.94579999999999997</v>
      </c>
      <c r="R91" s="7">
        <v>1.2999999999999999E-2</v>
      </c>
      <c r="S91" s="7">
        <v>7.5999999999999998E-2</v>
      </c>
      <c r="T91" s="7">
        <v>9.6000000000000002E-2</v>
      </c>
      <c r="U91" s="7">
        <v>1.101</v>
      </c>
      <c r="V91" s="7">
        <v>0.70799999999999996</v>
      </c>
      <c r="W91" s="7">
        <v>3.9E-2</v>
      </c>
      <c r="X91" s="7">
        <v>8.5030000000000001</v>
      </c>
      <c r="Y91" s="7">
        <v>0.16400000000000001</v>
      </c>
      <c r="Z91" s="7">
        <v>1.0218</v>
      </c>
      <c r="AA91" s="7">
        <v>1.0303</v>
      </c>
      <c r="AB91" s="7">
        <v>0.94789999999999996</v>
      </c>
      <c r="AC91" s="7">
        <v>-6.4000000000000003E-3</v>
      </c>
      <c r="AD91" s="7">
        <v>5.5999999999999999E-3</v>
      </c>
      <c r="AE91" s="7">
        <v>1.0800000000000001E-2</v>
      </c>
      <c r="AF91" s="7">
        <f>-180+337.4</f>
        <v>157.39999999999998</v>
      </c>
      <c r="AG91" s="7">
        <f>--8.7</f>
        <v>8.6999999999999993</v>
      </c>
      <c r="AH91" s="7"/>
      <c r="AI91" s="7">
        <v>65.099999999999994</v>
      </c>
      <c r="AJ91" s="7">
        <v>14.6</v>
      </c>
      <c r="AK91" s="7"/>
      <c r="AL91" s="7">
        <v>277.60000000000002</v>
      </c>
      <c r="AM91" s="7">
        <v>72.900000000000006</v>
      </c>
      <c r="AN91" s="7">
        <v>0.6</v>
      </c>
      <c r="AO91" s="7">
        <v>298</v>
      </c>
      <c r="AP91" s="7">
        <v>0</v>
      </c>
      <c r="AQ91" s="7">
        <v>28</v>
      </c>
      <c r="AR91" s="7">
        <v>10</v>
      </c>
      <c r="AS91" s="7">
        <v>208</v>
      </c>
      <c r="AT91" s="7">
        <v>80</v>
      </c>
      <c r="AU91" s="7">
        <f>180+157</f>
        <v>337</v>
      </c>
      <c r="AV91" s="7">
        <f>--0.1</f>
        <v>0.1</v>
      </c>
      <c r="AW91" s="7">
        <v>67</v>
      </c>
      <c r="AX91" s="7">
        <v>10</v>
      </c>
      <c r="AY91" s="7">
        <v>246.9</v>
      </c>
      <c r="AZ91" s="7">
        <v>80</v>
      </c>
      <c r="BA91" s="7"/>
      <c r="BB91" s="7"/>
      <c r="BC91">
        <f t="shared" si="12"/>
        <v>337</v>
      </c>
      <c r="BD91">
        <f t="shared" si="12"/>
        <v>0.1</v>
      </c>
      <c r="BE91" t="s">
        <v>1912</v>
      </c>
    </row>
    <row r="92" spans="1:57">
      <c r="A92" s="7" t="s">
        <v>1919</v>
      </c>
      <c r="B92" s="7" t="s">
        <v>1852</v>
      </c>
      <c r="C92" s="7">
        <v>700</v>
      </c>
      <c r="D92" s="7" t="s">
        <v>1853</v>
      </c>
      <c r="E92" s="7">
        <v>60</v>
      </c>
      <c r="F92" s="7">
        <v>15</v>
      </c>
      <c r="G92" s="7">
        <v>55</v>
      </c>
      <c r="H92" s="7">
        <v>15</v>
      </c>
      <c r="I92" s="7">
        <v>279.7</v>
      </c>
      <c r="J92" s="7">
        <v>0.03</v>
      </c>
      <c r="K92" s="7">
        <v>10</v>
      </c>
      <c r="L92" s="7">
        <v>11712.1</v>
      </c>
      <c r="M92" s="7">
        <v>4.4000000000000004</v>
      </c>
      <c r="N92" s="7">
        <v>19256.5</v>
      </c>
      <c r="O92" s="7">
        <v>1.0251999999999999</v>
      </c>
      <c r="P92" s="7">
        <v>1.0239</v>
      </c>
      <c r="Q92" s="7">
        <v>0.95089999999999997</v>
      </c>
      <c r="R92" s="7">
        <v>1E-3</v>
      </c>
      <c r="S92" s="7">
        <v>7.3999999999999996E-2</v>
      </c>
      <c r="T92" s="7">
        <v>8.5999999999999993E-2</v>
      </c>
      <c r="U92" s="7">
        <v>1.0900000000000001</v>
      </c>
      <c r="V92" s="7">
        <v>0.96699999999999997</v>
      </c>
      <c r="W92" s="7">
        <v>3.5000000000000003E-2</v>
      </c>
      <c r="X92" s="7">
        <v>7.24</v>
      </c>
      <c r="Y92" s="7">
        <v>1.7000000000000001E-2</v>
      </c>
      <c r="Z92" s="7">
        <v>1.0245</v>
      </c>
      <c r="AA92" s="7">
        <v>1.0226</v>
      </c>
      <c r="AB92" s="7">
        <v>0.95289999999999997</v>
      </c>
      <c r="AC92" s="7">
        <v>-8.0000000000000004E-4</v>
      </c>
      <c r="AD92" s="7">
        <v>1.18E-2</v>
      </c>
      <c r="AE92" s="7">
        <v>1.1000000000000001E-3</v>
      </c>
      <c r="AF92" s="7">
        <v>197.2</v>
      </c>
      <c r="AG92" s="7">
        <v>16.399999999999999</v>
      </c>
      <c r="AH92" s="7"/>
      <c r="AI92" s="7">
        <v>101.6</v>
      </c>
      <c r="AJ92" s="7">
        <v>17.2</v>
      </c>
      <c r="AK92" s="7"/>
      <c r="AL92" s="7">
        <v>327.7</v>
      </c>
      <c r="AM92" s="7">
        <v>66</v>
      </c>
      <c r="AN92" s="7">
        <v>0.5</v>
      </c>
      <c r="AO92" s="7">
        <v>135</v>
      </c>
      <c r="AP92" s="7">
        <v>6</v>
      </c>
      <c r="AQ92" s="7">
        <v>44</v>
      </c>
      <c r="AR92" s="7">
        <v>7</v>
      </c>
      <c r="AS92" s="7">
        <v>264</v>
      </c>
      <c r="AT92" s="7">
        <v>81</v>
      </c>
      <c r="AU92" s="7">
        <v>194.8</v>
      </c>
      <c r="AV92" s="7">
        <v>6.9</v>
      </c>
      <c r="AW92" s="7">
        <v>103.7</v>
      </c>
      <c r="AX92" s="7">
        <v>6.1</v>
      </c>
      <c r="AY92" s="7">
        <v>332</v>
      </c>
      <c r="AZ92" s="7">
        <v>81</v>
      </c>
      <c r="BA92" s="7"/>
      <c r="BB92" s="7"/>
      <c r="BC92">
        <f t="shared" si="12"/>
        <v>194.8</v>
      </c>
      <c r="BD92">
        <f t="shared" si="12"/>
        <v>6.9</v>
      </c>
      <c r="BE92" t="s">
        <v>1912</v>
      </c>
    </row>
    <row r="93" spans="1:57">
      <c r="A93" s="7" t="s">
        <v>1920</v>
      </c>
      <c r="B93" s="7" t="s">
        <v>1852</v>
      </c>
      <c r="C93" s="7">
        <v>700</v>
      </c>
      <c r="D93" s="7" t="s">
        <v>1853</v>
      </c>
      <c r="E93" s="7">
        <v>60</v>
      </c>
      <c r="F93" s="7">
        <v>15</v>
      </c>
      <c r="G93" s="7">
        <v>55</v>
      </c>
      <c r="H93" s="7">
        <v>15</v>
      </c>
      <c r="I93" s="7">
        <v>342.3</v>
      </c>
      <c r="J93" s="7">
        <v>1.4E-2</v>
      </c>
      <c r="K93" s="7">
        <v>10</v>
      </c>
      <c r="L93" s="7">
        <v>88915.7</v>
      </c>
      <c r="M93" s="7">
        <v>5638.8</v>
      </c>
      <c r="N93" s="7">
        <v>134373.29999999999</v>
      </c>
      <c r="O93" s="7">
        <v>1.0404</v>
      </c>
      <c r="P93" s="7">
        <v>1.0227999999999999</v>
      </c>
      <c r="Q93" s="7">
        <v>0.93679999999999997</v>
      </c>
      <c r="R93" s="7">
        <v>1.7000000000000001E-2</v>
      </c>
      <c r="S93" s="7">
        <v>8.7999999999999995E-2</v>
      </c>
      <c r="T93" s="7">
        <v>0.113</v>
      </c>
      <c r="U93" s="7">
        <v>1.119</v>
      </c>
      <c r="V93" s="7">
        <v>0.67500000000000004</v>
      </c>
      <c r="W93" s="7">
        <v>4.4999999999999998E-2</v>
      </c>
      <c r="X93" s="7">
        <v>9.9559999999999995</v>
      </c>
      <c r="Y93" s="7">
        <v>0.186</v>
      </c>
      <c r="Z93" s="7">
        <v>1.0395000000000001</v>
      </c>
      <c r="AA93" s="7">
        <v>1.0226999999999999</v>
      </c>
      <c r="AB93" s="7">
        <v>0.93779999999999997</v>
      </c>
      <c r="AC93" s="7">
        <v>1E-4</v>
      </c>
      <c r="AD93" s="7">
        <v>-3.5000000000000001E-3</v>
      </c>
      <c r="AE93" s="7">
        <v>9.4999999999999998E-3</v>
      </c>
      <c r="AF93" s="7">
        <v>58</v>
      </c>
      <c r="AG93" s="7">
        <v>5</v>
      </c>
      <c r="AH93" s="7">
        <v>1</v>
      </c>
      <c r="AI93" s="7">
        <v>149</v>
      </c>
      <c r="AJ93" s="7">
        <v>13</v>
      </c>
      <c r="AK93" s="7">
        <v>0.2</v>
      </c>
      <c r="AL93" s="7">
        <v>307</v>
      </c>
      <c r="AM93" s="7">
        <v>76</v>
      </c>
      <c r="AN93" s="7">
        <v>0.2</v>
      </c>
      <c r="AO93" s="7">
        <v>359</v>
      </c>
      <c r="AP93" s="7">
        <v>5</v>
      </c>
      <c r="AQ93" s="7">
        <v>269</v>
      </c>
      <c r="AR93" s="7">
        <v>2</v>
      </c>
      <c r="AS93" s="7">
        <v>157</v>
      </c>
      <c r="AT93" s="7">
        <v>84</v>
      </c>
      <c r="AU93" s="7">
        <v>59.2</v>
      </c>
      <c r="AV93" s="7">
        <v>4.0999999999999996</v>
      </c>
      <c r="AW93" s="7">
        <f>180+148.9</f>
        <v>328.9</v>
      </c>
      <c r="AX93" s="7">
        <f>--2</f>
        <v>2</v>
      </c>
      <c r="AY93" s="7">
        <v>213.9</v>
      </c>
      <c r="AZ93" s="7">
        <v>85.4</v>
      </c>
      <c r="BA93" s="7"/>
      <c r="BB93" s="7"/>
      <c r="BC93">
        <f t="shared" si="12"/>
        <v>59.2</v>
      </c>
      <c r="BD93">
        <f t="shared" si="12"/>
        <v>4.0999999999999996</v>
      </c>
      <c r="BE93" t="s">
        <v>1912</v>
      </c>
    </row>
    <row r="94" spans="1:57">
      <c r="A94" s="7" t="s">
        <v>1921</v>
      </c>
      <c r="B94" s="7" t="s">
        <v>1852</v>
      </c>
      <c r="C94" s="7">
        <v>700</v>
      </c>
      <c r="D94" s="7" t="s">
        <v>1853</v>
      </c>
      <c r="E94" s="7">
        <v>60</v>
      </c>
      <c r="F94" s="7">
        <v>15</v>
      </c>
      <c r="G94" s="7">
        <v>55</v>
      </c>
      <c r="H94" s="7">
        <v>15</v>
      </c>
      <c r="I94" s="7">
        <v>431.3</v>
      </c>
      <c r="J94" s="7">
        <v>5.0000000000000001E-3</v>
      </c>
      <c r="K94" s="7">
        <v>10</v>
      </c>
      <c r="L94" s="7">
        <v>777819.8</v>
      </c>
      <c r="M94" s="7">
        <v>51221.8</v>
      </c>
      <c r="N94" s="7">
        <v>1163435</v>
      </c>
      <c r="O94" s="7">
        <v>1.0409999999999999</v>
      </c>
      <c r="P94" s="7">
        <v>1.0227999999999999</v>
      </c>
      <c r="Q94" s="7">
        <v>0.93620000000000003</v>
      </c>
      <c r="R94" s="7">
        <v>1.7999999999999999E-2</v>
      </c>
      <c r="S94" s="7">
        <v>8.7999999999999995E-2</v>
      </c>
      <c r="T94" s="7">
        <v>0.114</v>
      </c>
      <c r="U94" s="7">
        <v>1.1200000000000001</v>
      </c>
      <c r="V94" s="7">
        <v>0.66800000000000004</v>
      </c>
      <c r="W94" s="7">
        <v>4.5999999999999999E-2</v>
      </c>
      <c r="X94" s="7">
        <v>10.064</v>
      </c>
      <c r="Y94" s="7">
        <v>0.19</v>
      </c>
      <c r="Z94" s="7">
        <v>1.0406</v>
      </c>
      <c r="AA94" s="7">
        <v>1.0227999999999999</v>
      </c>
      <c r="AB94" s="7">
        <v>0.9365</v>
      </c>
      <c r="AC94" s="7">
        <v>-1E-3</v>
      </c>
      <c r="AD94" s="7">
        <v>1.2999999999999999E-3</v>
      </c>
      <c r="AE94" s="7">
        <v>5.5999999999999999E-3</v>
      </c>
      <c r="AF94" s="7">
        <v>56</v>
      </c>
      <c r="AG94" s="7">
        <v>2</v>
      </c>
      <c r="AH94" s="7">
        <v>0.3</v>
      </c>
      <c r="AI94" s="7">
        <v>147</v>
      </c>
      <c r="AJ94" s="7">
        <v>16</v>
      </c>
      <c r="AK94" s="7">
        <v>0.1</v>
      </c>
      <c r="AL94" s="7">
        <v>319</v>
      </c>
      <c r="AM94" s="7">
        <v>74</v>
      </c>
      <c r="AN94" s="7">
        <v>0.1</v>
      </c>
      <c r="AO94" s="7">
        <v>357</v>
      </c>
      <c r="AP94" s="7">
        <v>3</v>
      </c>
      <c r="AQ94" s="7">
        <v>87</v>
      </c>
      <c r="AR94" s="7">
        <v>1</v>
      </c>
      <c r="AS94" s="7">
        <v>196</v>
      </c>
      <c r="AT94" s="7">
        <v>87</v>
      </c>
      <c r="AU94" s="7">
        <v>56.5</v>
      </c>
      <c r="AV94" s="7">
        <v>1.7</v>
      </c>
      <c r="AW94" s="7">
        <v>146.9</v>
      </c>
      <c r="AX94" s="7">
        <v>1</v>
      </c>
      <c r="AY94" s="7">
        <v>264</v>
      </c>
      <c r="AZ94" s="7">
        <v>88.1</v>
      </c>
      <c r="BA94" s="7"/>
      <c r="BB94" s="7"/>
      <c r="BC94">
        <f t="shared" si="12"/>
        <v>56.5</v>
      </c>
      <c r="BD94">
        <f t="shared" si="12"/>
        <v>1.7</v>
      </c>
      <c r="BE94" t="s">
        <v>1912</v>
      </c>
    </row>
    <row r="95" spans="1:57">
      <c r="A95" s="7" t="s">
        <v>1922</v>
      </c>
      <c r="B95" s="7" t="s">
        <v>1852</v>
      </c>
      <c r="C95" s="7">
        <v>700</v>
      </c>
      <c r="D95" s="7" t="s">
        <v>1853</v>
      </c>
      <c r="E95" s="7">
        <v>90</v>
      </c>
      <c r="F95" s="7">
        <v>55</v>
      </c>
      <c r="G95" s="7">
        <v>55</v>
      </c>
      <c r="H95" s="7">
        <v>21</v>
      </c>
      <c r="I95" s="7">
        <v>295.89999999999998</v>
      </c>
      <c r="J95" s="7">
        <v>7.5999999999999998E-2</v>
      </c>
      <c r="K95" s="7">
        <v>10</v>
      </c>
      <c r="L95" s="7">
        <v>1662.2</v>
      </c>
      <c r="M95" s="7">
        <v>309.5</v>
      </c>
      <c r="N95" s="7">
        <v>1642.6</v>
      </c>
      <c r="O95" s="7">
        <v>1.0357000000000001</v>
      </c>
      <c r="P95" s="7">
        <v>1.0088999999999999</v>
      </c>
      <c r="Q95" s="7">
        <v>0.95530000000000004</v>
      </c>
      <c r="R95" s="7">
        <v>2.5999999999999999E-2</v>
      </c>
      <c r="S95" s="7">
        <v>5.5E-2</v>
      </c>
      <c r="T95" s="7">
        <v>8.2000000000000003E-2</v>
      </c>
      <c r="U95" s="7">
        <v>1.0860000000000001</v>
      </c>
      <c r="V95" s="7">
        <v>0.35099999999999998</v>
      </c>
      <c r="W95" s="7">
        <v>3.3000000000000002E-2</v>
      </c>
      <c r="X95" s="7">
        <v>7.7619999999999996</v>
      </c>
      <c r="Y95" s="7">
        <v>0.4</v>
      </c>
      <c r="Z95" s="7">
        <v>1.0237000000000001</v>
      </c>
      <c r="AA95" s="7">
        <v>1.0209999999999999</v>
      </c>
      <c r="AB95" s="7">
        <v>0.95530000000000004</v>
      </c>
      <c r="AC95" s="7">
        <v>-1.3299999999999999E-2</v>
      </c>
      <c r="AD95" s="7">
        <v>-8.0000000000000004E-4</v>
      </c>
      <c r="AE95" s="7">
        <v>5.9999999999999995E-4</v>
      </c>
      <c r="AF95" s="7">
        <v>241.8</v>
      </c>
      <c r="AG95" s="7">
        <v>32.5</v>
      </c>
      <c r="AH95" s="7"/>
      <c r="AI95" s="7">
        <v>122.60000000000002</v>
      </c>
      <c r="AJ95" s="7">
        <v>37.4</v>
      </c>
      <c r="AK95" s="7"/>
      <c r="AL95" s="7">
        <v>359.4</v>
      </c>
      <c r="AM95" s="7">
        <v>35.9</v>
      </c>
      <c r="AN95" s="7">
        <v>1.2</v>
      </c>
      <c r="AO95" s="7">
        <v>318</v>
      </c>
      <c r="AP95" s="7">
        <v>1</v>
      </c>
      <c r="AQ95" s="7">
        <v>228</v>
      </c>
      <c r="AR95" s="7">
        <v>0</v>
      </c>
      <c r="AS95" s="7">
        <v>121</v>
      </c>
      <c r="AT95" s="7">
        <v>89</v>
      </c>
      <c r="AU95" s="7">
        <v>228.2</v>
      </c>
      <c r="AV95" s="7">
        <v>32.5</v>
      </c>
      <c r="AW95" s="7">
        <v>126.5</v>
      </c>
      <c r="AX95" s="7">
        <v>17.7</v>
      </c>
      <c r="AY95" s="7">
        <v>12.9</v>
      </c>
      <c r="AZ95" s="7">
        <v>51.9</v>
      </c>
      <c r="BA95" s="7"/>
      <c r="BB95" s="7"/>
      <c r="BC95">
        <f t="shared" si="12"/>
        <v>228.2</v>
      </c>
      <c r="BD95">
        <f t="shared" si="12"/>
        <v>32.5</v>
      </c>
      <c r="BE95" t="s">
        <v>1912</v>
      </c>
    </row>
    <row r="96" spans="1:57">
      <c r="A96" s="7" t="s">
        <v>1923</v>
      </c>
      <c r="B96" s="7" t="s">
        <v>1852</v>
      </c>
      <c r="C96" s="7">
        <v>700</v>
      </c>
      <c r="D96" s="7" t="s">
        <v>1853</v>
      </c>
      <c r="E96" s="7">
        <v>70</v>
      </c>
      <c r="F96" s="7">
        <v>25</v>
      </c>
      <c r="G96" s="7">
        <v>55</v>
      </c>
      <c r="H96" s="7">
        <v>21</v>
      </c>
      <c r="I96" s="7">
        <v>255.1</v>
      </c>
      <c r="J96" s="7">
        <v>5.2999999999999999E-2</v>
      </c>
      <c r="K96" s="7">
        <v>10</v>
      </c>
      <c r="L96" s="7">
        <v>3994.9</v>
      </c>
      <c r="M96" s="7">
        <v>677.6</v>
      </c>
      <c r="N96" s="7">
        <v>4403.1000000000004</v>
      </c>
      <c r="O96" s="7">
        <v>1.0369999999999999</v>
      </c>
      <c r="P96" s="7">
        <v>1.0114000000000001</v>
      </c>
      <c r="Q96" s="7">
        <v>0.9516</v>
      </c>
      <c r="R96" s="7">
        <v>2.5000000000000001E-2</v>
      </c>
      <c r="S96" s="7">
        <v>6.0999999999999999E-2</v>
      </c>
      <c r="T96" s="7">
        <v>8.7999999999999995E-2</v>
      </c>
      <c r="U96" s="7">
        <v>1.0920000000000001</v>
      </c>
      <c r="V96" s="7">
        <v>0.42</v>
      </c>
      <c r="W96" s="7">
        <v>3.5999999999999997E-2</v>
      </c>
      <c r="X96" s="7">
        <v>8.2379999999999995</v>
      </c>
      <c r="Y96" s="7">
        <v>0.35199999999999998</v>
      </c>
      <c r="Z96" s="7">
        <v>1.0309999999999999</v>
      </c>
      <c r="AA96" s="7">
        <v>1.0166999999999999</v>
      </c>
      <c r="AB96" s="7">
        <v>0.95230000000000004</v>
      </c>
      <c r="AC96" s="7">
        <v>-1.01E-2</v>
      </c>
      <c r="AD96" s="7">
        <v>-3.8E-3</v>
      </c>
      <c r="AE96" s="7">
        <v>7.0000000000000001E-3</v>
      </c>
      <c r="AF96" s="7">
        <v>223.3</v>
      </c>
      <c r="AG96" s="7">
        <v>6.4</v>
      </c>
      <c r="AH96" s="7"/>
      <c r="AI96" s="7">
        <v>130.69999999999999</v>
      </c>
      <c r="AJ96" s="7">
        <v>22</v>
      </c>
      <c r="AK96" s="7"/>
      <c r="AL96" s="7">
        <v>328.7</v>
      </c>
      <c r="AM96" s="7">
        <v>67</v>
      </c>
      <c r="AN96" s="7">
        <v>0.8</v>
      </c>
      <c r="AO96" s="7">
        <v>333</v>
      </c>
      <c r="AP96" s="7">
        <v>5</v>
      </c>
      <c r="AQ96" s="7">
        <v>243</v>
      </c>
      <c r="AR96" s="7">
        <v>0</v>
      </c>
      <c r="AS96" s="7">
        <v>151</v>
      </c>
      <c r="AT96" s="7">
        <v>85</v>
      </c>
      <c r="AU96" s="7">
        <v>221.8</v>
      </c>
      <c r="AV96" s="7">
        <v>1.8</v>
      </c>
      <c r="AW96" s="7">
        <v>131.80000000000001</v>
      </c>
      <c r="AX96" s="7">
        <v>1.6</v>
      </c>
      <c r="AY96" s="7">
        <v>1.4</v>
      </c>
      <c r="AZ96" s="7">
        <v>87.6</v>
      </c>
      <c r="BA96" s="7"/>
      <c r="BB96" s="7"/>
      <c r="BC96">
        <f t="shared" si="12"/>
        <v>221.8</v>
      </c>
      <c r="BD96">
        <f t="shared" si="12"/>
        <v>1.8</v>
      </c>
      <c r="BE96" t="s">
        <v>1912</v>
      </c>
    </row>
    <row r="97" spans="1:57">
      <c r="A97" s="7" t="s">
        <v>1924</v>
      </c>
      <c r="B97" s="7" t="s">
        <v>1852</v>
      </c>
      <c r="C97" s="7">
        <v>700</v>
      </c>
      <c r="D97" s="7" t="s">
        <v>1853</v>
      </c>
      <c r="E97" s="7">
        <v>70</v>
      </c>
      <c r="F97" s="7">
        <v>25</v>
      </c>
      <c r="G97" s="7">
        <v>55</v>
      </c>
      <c r="H97" s="7">
        <v>21</v>
      </c>
      <c r="I97" s="7">
        <v>298.89999999999998</v>
      </c>
      <c r="J97" s="7">
        <v>6.0999999999999999E-2</v>
      </c>
      <c r="K97" s="7">
        <v>10</v>
      </c>
      <c r="L97" s="7">
        <v>3212.7</v>
      </c>
      <c r="M97" s="7">
        <v>734.4</v>
      </c>
      <c r="N97" s="7">
        <v>3288.7</v>
      </c>
      <c r="O97" s="7">
        <v>1.0398000000000001</v>
      </c>
      <c r="P97" s="7">
        <v>1.0098</v>
      </c>
      <c r="Q97" s="7">
        <v>0.95040000000000002</v>
      </c>
      <c r="R97" s="7">
        <v>2.9000000000000001E-2</v>
      </c>
      <c r="S97" s="7">
        <v>6.0999999999999999E-2</v>
      </c>
      <c r="T97" s="7">
        <v>9.1999999999999998E-2</v>
      </c>
      <c r="U97" s="7">
        <v>1.0960000000000001</v>
      </c>
      <c r="V97" s="7">
        <v>0.35</v>
      </c>
      <c r="W97" s="7">
        <v>3.6999999999999998E-2</v>
      </c>
      <c r="X97" s="7">
        <v>8.5950000000000006</v>
      </c>
      <c r="Y97" s="7">
        <v>0.40200000000000002</v>
      </c>
      <c r="Z97" s="7">
        <v>1.0346</v>
      </c>
      <c r="AA97" s="7">
        <v>1.0142</v>
      </c>
      <c r="AB97" s="7">
        <v>0.95120000000000005</v>
      </c>
      <c r="AC97" s="7">
        <v>-1.0500000000000001E-2</v>
      </c>
      <c r="AD97" s="7">
        <v>-5.3E-3</v>
      </c>
      <c r="AE97" s="7">
        <v>6.6E-3</v>
      </c>
      <c r="AF97" s="7">
        <v>227</v>
      </c>
      <c r="AG97" s="7">
        <v>4.9000000000000004</v>
      </c>
      <c r="AH97" s="7"/>
      <c r="AI97" s="7">
        <v>135.30000000000001</v>
      </c>
      <c r="AJ97" s="7">
        <v>20.9</v>
      </c>
      <c r="AK97" s="7"/>
      <c r="AL97" s="7">
        <v>328.3</v>
      </c>
      <c r="AM97" s="7">
        <v>68.900000000000006</v>
      </c>
      <c r="AN97" s="7">
        <v>0.9</v>
      </c>
      <c r="AO97" s="7">
        <v>337</v>
      </c>
      <c r="AP97" s="7">
        <v>5</v>
      </c>
      <c r="AQ97" s="7">
        <v>247</v>
      </c>
      <c r="AR97" s="7">
        <v>2</v>
      </c>
      <c r="AS97" s="7">
        <v>134</v>
      </c>
      <c r="AT97" s="7">
        <v>84</v>
      </c>
      <c r="AU97" s="7">
        <v>225.8</v>
      </c>
      <c r="AV97" s="7">
        <v>1.7</v>
      </c>
      <c r="AW97" s="7">
        <v>135.9</v>
      </c>
      <c r="AX97" s="7">
        <v>0.2</v>
      </c>
      <c r="AY97" s="7">
        <v>51.7</v>
      </c>
      <c r="AZ97" s="7">
        <v>88.8</v>
      </c>
      <c r="BA97" s="7"/>
      <c r="BB97" s="7"/>
      <c r="BC97">
        <f t="shared" si="12"/>
        <v>225.8</v>
      </c>
      <c r="BD97">
        <f t="shared" si="12"/>
        <v>1.7</v>
      </c>
      <c r="BE97" t="s">
        <v>1912</v>
      </c>
    </row>
    <row r="98" spans="1:57">
      <c r="A98" s="7" t="s">
        <v>1925</v>
      </c>
      <c r="B98" s="7" t="s">
        <v>1852</v>
      </c>
      <c r="C98" s="7">
        <v>700</v>
      </c>
      <c r="D98" s="7" t="s">
        <v>1853</v>
      </c>
      <c r="E98" s="7">
        <v>55</v>
      </c>
      <c r="F98" s="7">
        <v>21</v>
      </c>
      <c r="G98" s="7">
        <v>55</v>
      </c>
      <c r="H98" s="7">
        <v>21</v>
      </c>
      <c r="I98" s="7">
        <v>263.39999999999998</v>
      </c>
      <c r="J98" s="7">
        <v>8.9999999999999993E-3</v>
      </c>
      <c r="K98" s="7">
        <v>10</v>
      </c>
      <c r="L98" s="7">
        <v>133512.1</v>
      </c>
      <c r="M98" s="7">
        <v>14700.9</v>
      </c>
      <c r="N98" s="7">
        <v>181043.8</v>
      </c>
      <c r="O98" s="7">
        <v>1.0316000000000001</v>
      </c>
      <c r="P98" s="7">
        <v>1.0143</v>
      </c>
      <c r="Q98" s="7">
        <v>0.95399999999999996</v>
      </c>
      <c r="R98" s="7">
        <v>1.7000000000000001E-2</v>
      </c>
      <c r="S98" s="7">
        <v>6.0999999999999999E-2</v>
      </c>
      <c r="T98" s="7">
        <v>8.2000000000000003E-2</v>
      </c>
      <c r="U98" s="7">
        <v>1.0860000000000001</v>
      </c>
      <c r="V98" s="7">
        <v>0.56799999999999995</v>
      </c>
      <c r="W98" s="7">
        <v>3.3000000000000002E-2</v>
      </c>
      <c r="X98" s="7">
        <v>7.5250000000000004</v>
      </c>
      <c r="Y98" s="7">
        <v>0.251</v>
      </c>
      <c r="Z98" s="7">
        <v>1.0310999999999999</v>
      </c>
      <c r="AA98" s="7">
        <v>1.0144</v>
      </c>
      <c r="AB98" s="7">
        <v>0.95450000000000002</v>
      </c>
      <c r="AC98" s="7">
        <v>-2.2000000000000001E-3</v>
      </c>
      <c r="AD98" s="7">
        <v>-4.4999999999999997E-3</v>
      </c>
      <c r="AE98" s="7">
        <v>3.5999999999999999E-3</v>
      </c>
      <c r="AF98" s="7">
        <v>226.5</v>
      </c>
      <c r="AG98" s="7">
        <v>0.1</v>
      </c>
      <c r="AH98" s="7"/>
      <c r="AI98" s="7">
        <v>136.69999999999999</v>
      </c>
      <c r="AJ98" s="7">
        <v>16.8</v>
      </c>
      <c r="AK98" s="7"/>
      <c r="AL98" s="7">
        <v>315.89999999999998</v>
      </c>
      <c r="AM98" s="7">
        <v>73</v>
      </c>
      <c r="AN98" s="7">
        <v>0.1</v>
      </c>
      <c r="AO98" s="7">
        <v>352</v>
      </c>
      <c r="AP98" s="7">
        <v>3</v>
      </c>
      <c r="AQ98" s="7">
        <v>262</v>
      </c>
      <c r="AR98" s="7">
        <v>4</v>
      </c>
      <c r="AS98" s="7">
        <v>122</v>
      </c>
      <c r="AT98" s="7">
        <v>85</v>
      </c>
      <c r="AU98" s="7">
        <f>227-180</f>
        <v>47</v>
      </c>
      <c r="AV98" s="7">
        <f>--2.9</f>
        <v>2.9</v>
      </c>
      <c r="AW98" s="7">
        <f>180+137</f>
        <v>317</v>
      </c>
      <c r="AX98" s="7">
        <f>--4</f>
        <v>4</v>
      </c>
      <c r="AY98" s="7">
        <v>177.3</v>
      </c>
      <c r="AZ98" s="7">
        <v>85</v>
      </c>
      <c r="BA98" s="7"/>
      <c r="BB98" s="7"/>
      <c r="BC98">
        <f t="shared" si="12"/>
        <v>47</v>
      </c>
      <c r="BD98">
        <f t="shared" si="12"/>
        <v>2.9</v>
      </c>
      <c r="BE98" t="s">
        <v>1912</v>
      </c>
    </row>
    <row r="99" spans="1:57">
      <c r="A99" s="7" t="s">
        <v>1926</v>
      </c>
      <c r="B99" s="7" t="s">
        <v>1852</v>
      </c>
      <c r="C99" s="7">
        <v>700</v>
      </c>
      <c r="D99" s="7" t="s">
        <v>1853</v>
      </c>
      <c r="E99" s="7">
        <v>75</v>
      </c>
      <c r="F99" s="7">
        <v>13</v>
      </c>
      <c r="G99" s="7">
        <v>55</v>
      </c>
      <c r="H99" s="7">
        <v>21</v>
      </c>
      <c r="I99" s="7">
        <v>314</v>
      </c>
      <c r="J99" s="7">
        <v>1.2E-2</v>
      </c>
      <c r="K99" s="7">
        <v>10</v>
      </c>
      <c r="L99" s="7">
        <v>99095.1</v>
      </c>
      <c r="M99" s="7">
        <v>8519.9</v>
      </c>
      <c r="N99" s="7">
        <v>140355.1</v>
      </c>
      <c r="O99" s="7">
        <v>1.0357000000000001</v>
      </c>
      <c r="P99" s="7">
        <v>1.018</v>
      </c>
      <c r="Q99" s="7">
        <v>0.94630000000000003</v>
      </c>
      <c r="R99" s="7">
        <v>1.7000000000000001E-2</v>
      </c>
      <c r="S99" s="7">
        <v>7.2999999999999995E-2</v>
      </c>
      <c r="T99" s="7">
        <v>9.6000000000000002E-2</v>
      </c>
      <c r="U99" s="7">
        <v>1.101</v>
      </c>
      <c r="V99" s="7">
        <v>0.62</v>
      </c>
      <c r="W99" s="7">
        <v>3.9E-2</v>
      </c>
      <c r="X99" s="7">
        <v>8.6300000000000008</v>
      </c>
      <c r="Y99" s="7">
        <v>0.219</v>
      </c>
      <c r="Z99" s="7">
        <v>1.0347</v>
      </c>
      <c r="AA99" s="7">
        <v>1.0168999999999999</v>
      </c>
      <c r="AB99" s="7">
        <v>0.94840000000000002</v>
      </c>
      <c r="AC99" s="7">
        <v>-3.0999999999999999E-3</v>
      </c>
      <c r="AD99" s="7">
        <v>9.9000000000000008E-3</v>
      </c>
      <c r="AE99" s="7">
        <v>7.6E-3</v>
      </c>
      <c r="AF99" s="7">
        <v>67</v>
      </c>
      <c r="AG99" s="7">
        <v>2</v>
      </c>
      <c r="AH99" s="7">
        <v>0.8</v>
      </c>
      <c r="AI99" s="7">
        <v>158</v>
      </c>
      <c r="AJ99" s="7">
        <v>22</v>
      </c>
      <c r="AK99" s="7">
        <v>0.2</v>
      </c>
      <c r="AL99" s="7">
        <v>331</v>
      </c>
      <c r="AM99" s="7">
        <v>68</v>
      </c>
      <c r="AN99" s="7">
        <v>0.2</v>
      </c>
      <c r="AO99" s="7">
        <v>353</v>
      </c>
      <c r="AP99" s="7">
        <v>4</v>
      </c>
      <c r="AQ99" s="7">
        <v>84</v>
      </c>
      <c r="AR99" s="7">
        <v>9</v>
      </c>
      <c r="AS99" s="7">
        <v>238</v>
      </c>
      <c r="AT99" s="7">
        <v>80</v>
      </c>
      <c r="AU99" s="7">
        <f>180+66.9</f>
        <v>246.9</v>
      </c>
      <c r="AV99" s="7">
        <f>--2.4</f>
        <v>2.4</v>
      </c>
      <c r="AW99" s="7">
        <v>157</v>
      </c>
      <c r="AX99" s="7">
        <v>1.5</v>
      </c>
      <c r="AY99" s="7">
        <v>33.4</v>
      </c>
      <c r="AZ99" s="7">
        <v>87.6</v>
      </c>
      <c r="BA99" s="7"/>
      <c r="BB99" s="7"/>
      <c r="BC99">
        <f t="shared" si="12"/>
        <v>246.9</v>
      </c>
      <c r="BD99">
        <f t="shared" si="12"/>
        <v>2.4</v>
      </c>
      <c r="BE99" t="s">
        <v>1912</v>
      </c>
    </row>
    <row r="100" spans="1:57">
      <c r="A100" s="7" t="s">
        <v>1927</v>
      </c>
      <c r="B100" s="7" t="s">
        <v>1852</v>
      </c>
      <c r="C100" s="7">
        <v>700</v>
      </c>
      <c r="D100" s="7" t="s">
        <v>1853</v>
      </c>
      <c r="E100" s="7">
        <v>67</v>
      </c>
      <c r="F100" s="7">
        <v>21</v>
      </c>
      <c r="G100" s="7">
        <v>67</v>
      </c>
      <c r="H100" s="7">
        <v>21</v>
      </c>
      <c r="I100" s="7">
        <v>320.3</v>
      </c>
      <c r="J100" s="7">
        <v>1.4E-2</v>
      </c>
      <c r="K100" s="7">
        <v>10</v>
      </c>
      <c r="L100" s="7">
        <v>65263.4</v>
      </c>
      <c r="M100" s="7">
        <v>6319.4</v>
      </c>
      <c r="N100" s="7">
        <v>91068.6</v>
      </c>
      <c r="O100" s="7">
        <v>1.0348999999999999</v>
      </c>
      <c r="P100" s="7">
        <v>1.0168999999999999</v>
      </c>
      <c r="Q100" s="7">
        <v>0.94820000000000004</v>
      </c>
      <c r="R100" s="7">
        <v>1.7999999999999999E-2</v>
      </c>
      <c r="S100" s="7">
        <v>7.0000000000000007E-2</v>
      </c>
      <c r="T100" s="7">
        <v>9.2999999999999999E-2</v>
      </c>
      <c r="U100" s="7">
        <v>1.097</v>
      </c>
      <c r="V100" s="7">
        <v>0.59799999999999998</v>
      </c>
      <c r="W100" s="7">
        <v>3.6999999999999998E-2</v>
      </c>
      <c r="X100" s="7">
        <v>8.3810000000000002</v>
      </c>
      <c r="Y100" s="7">
        <v>0.23200000000000001</v>
      </c>
      <c r="Z100" s="7">
        <v>1.0345</v>
      </c>
      <c r="AA100" s="7">
        <v>1.0162</v>
      </c>
      <c r="AB100" s="7">
        <v>0.94930000000000003</v>
      </c>
      <c r="AC100" s="7">
        <v>-2E-3</v>
      </c>
      <c r="AD100" s="7">
        <v>7.4999999999999997E-3</v>
      </c>
      <c r="AE100" s="7">
        <v>4.5999999999999999E-3</v>
      </c>
      <c r="AF100" s="7">
        <f>241.3-180</f>
        <v>61.300000000000011</v>
      </c>
      <c r="AG100" s="7">
        <f>--1</f>
        <v>1</v>
      </c>
      <c r="AH100" s="7"/>
      <c r="AI100" s="7">
        <v>151.4</v>
      </c>
      <c r="AJ100" s="7">
        <v>27.9</v>
      </c>
      <c r="AK100" s="7"/>
      <c r="AL100" s="7">
        <v>330.1</v>
      </c>
      <c r="AM100" s="7">
        <v>62.6</v>
      </c>
      <c r="AN100" s="7">
        <v>0.2</v>
      </c>
      <c r="AO100" s="7">
        <v>355</v>
      </c>
      <c r="AP100" s="7">
        <v>3</v>
      </c>
      <c r="AQ100" s="7">
        <v>85</v>
      </c>
      <c r="AR100" s="7">
        <v>7</v>
      </c>
      <c r="AS100" s="7">
        <v>243</v>
      </c>
      <c r="AT100" s="7">
        <v>83</v>
      </c>
      <c r="AU100" s="7">
        <v>62</v>
      </c>
      <c r="AV100" s="7">
        <v>3</v>
      </c>
      <c r="AW100" s="7">
        <v>152</v>
      </c>
      <c r="AX100" s="7">
        <v>7</v>
      </c>
      <c r="AY100" s="7">
        <v>310</v>
      </c>
      <c r="AZ100" s="7">
        <v>83</v>
      </c>
      <c r="BA100" s="7"/>
      <c r="BB100" s="7"/>
      <c r="BC100">
        <f t="shared" si="12"/>
        <v>62</v>
      </c>
      <c r="BD100">
        <f t="shared" si="12"/>
        <v>3</v>
      </c>
      <c r="BE100" t="s">
        <v>1912</v>
      </c>
    </row>
    <row r="101" spans="1:57">
      <c r="A101" s="7" t="s">
        <v>1928</v>
      </c>
      <c r="B101" s="7" t="s">
        <v>1852</v>
      </c>
      <c r="C101" s="7">
        <v>700</v>
      </c>
      <c r="D101" s="7" t="s">
        <v>1853</v>
      </c>
      <c r="E101" s="7">
        <v>67</v>
      </c>
      <c r="F101" s="7">
        <v>21</v>
      </c>
      <c r="G101" s="7">
        <v>67</v>
      </c>
      <c r="H101" s="7">
        <v>21</v>
      </c>
      <c r="I101" s="7">
        <v>312.89999999999998</v>
      </c>
      <c r="J101" s="7">
        <v>1.0999999999999999E-2</v>
      </c>
      <c r="K101" s="7">
        <v>10</v>
      </c>
      <c r="L101" s="7">
        <v>107700.3</v>
      </c>
      <c r="M101" s="7">
        <v>9911.2000000000007</v>
      </c>
      <c r="N101" s="7">
        <v>149365.70000000001</v>
      </c>
      <c r="O101" s="7">
        <v>1.0356000000000001</v>
      </c>
      <c r="P101" s="7">
        <v>1.0172000000000001</v>
      </c>
      <c r="Q101" s="7">
        <v>0.94720000000000004</v>
      </c>
      <c r="R101" s="7">
        <v>1.7999999999999999E-2</v>
      </c>
      <c r="S101" s="7">
        <v>7.0999999999999994E-2</v>
      </c>
      <c r="T101" s="7">
        <v>9.4E-2</v>
      </c>
      <c r="U101" s="7">
        <v>1.099</v>
      </c>
      <c r="V101" s="7">
        <v>0.6</v>
      </c>
      <c r="W101" s="7">
        <v>3.7999999999999999E-2</v>
      </c>
      <c r="X101" s="7">
        <v>8.5340000000000007</v>
      </c>
      <c r="Y101" s="7">
        <v>0.23100000000000001</v>
      </c>
      <c r="Z101" s="7">
        <v>1.0347999999999999</v>
      </c>
      <c r="AA101" s="7">
        <v>1.0179</v>
      </c>
      <c r="AB101" s="7">
        <v>0.94740000000000002</v>
      </c>
      <c r="AC101" s="7">
        <v>-3.5999999999999999E-3</v>
      </c>
      <c r="AD101" s="7">
        <v>2.3999999999999998E-3</v>
      </c>
      <c r="AE101" s="7">
        <v>2.8999999999999998E-3</v>
      </c>
      <c r="AF101" s="7">
        <v>236</v>
      </c>
      <c r="AG101" s="7">
        <v>2</v>
      </c>
      <c r="AH101" s="7"/>
      <c r="AI101" s="7">
        <v>145.1</v>
      </c>
      <c r="AJ101" s="7">
        <v>22.6</v>
      </c>
      <c r="AK101" s="7"/>
      <c r="AL101" s="7">
        <v>331.8</v>
      </c>
      <c r="AM101" s="7">
        <v>66.7</v>
      </c>
      <c r="AN101" s="7">
        <v>0.2</v>
      </c>
      <c r="AO101" s="7">
        <v>349</v>
      </c>
      <c r="AP101" s="7">
        <v>2</v>
      </c>
      <c r="AQ101" s="7">
        <v>79</v>
      </c>
      <c r="AR101" s="7">
        <v>2</v>
      </c>
      <c r="AS101" s="7">
        <v>227</v>
      </c>
      <c r="AT101" s="7">
        <v>87</v>
      </c>
      <c r="AU101" s="7">
        <f>236-180</f>
        <v>56</v>
      </c>
      <c r="AV101" s="7">
        <f>--2</f>
        <v>2</v>
      </c>
      <c r="AW101" s="7">
        <v>146</v>
      </c>
      <c r="AX101" s="7">
        <v>2</v>
      </c>
      <c r="AY101" s="7">
        <v>294.10000000000002</v>
      </c>
      <c r="AZ101" s="7">
        <v>87</v>
      </c>
      <c r="BA101" s="7"/>
      <c r="BB101" s="7"/>
      <c r="BC101">
        <f t="shared" si="12"/>
        <v>56</v>
      </c>
      <c r="BD101">
        <f t="shared" si="12"/>
        <v>2</v>
      </c>
      <c r="BE101" t="s">
        <v>1912</v>
      </c>
    </row>
    <row r="102" spans="1:57">
      <c r="A102" s="7" t="s">
        <v>1929</v>
      </c>
      <c r="B102" s="7" t="s">
        <v>1852</v>
      </c>
      <c r="C102" s="7">
        <v>700</v>
      </c>
      <c r="D102" s="7" t="s">
        <v>1853</v>
      </c>
      <c r="E102" s="7">
        <v>71</v>
      </c>
      <c r="F102" s="7">
        <v>20</v>
      </c>
      <c r="G102" s="7">
        <v>71</v>
      </c>
      <c r="H102" s="7">
        <v>20</v>
      </c>
      <c r="I102" s="7">
        <v>314.89999999999998</v>
      </c>
      <c r="J102" s="7">
        <v>1.7999999999999999E-2</v>
      </c>
      <c r="K102" s="7">
        <v>10</v>
      </c>
      <c r="L102" s="7">
        <v>33253.800000000003</v>
      </c>
      <c r="M102" s="7">
        <v>2095.4</v>
      </c>
      <c r="N102" s="7">
        <v>44727.199999999997</v>
      </c>
      <c r="O102" s="7">
        <v>1.0322</v>
      </c>
      <c r="P102" s="7">
        <v>1.0166999999999999</v>
      </c>
      <c r="Q102" s="7">
        <v>0.95109999999999995</v>
      </c>
      <c r="R102" s="7">
        <v>1.4999999999999999E-2</v>
      </c>
      <c r="S102" s="7">
        <v>6.7000000000000004E-2</v>
      </c>
      <c r="T102" s="7">
        <v>8.6999999999999994E-2</v>
      </c>
      <c r="U102" s="7">
        <v>1.091</v>
      </c>
      <c r="V102" s="7">
        <v>0.629</v>
      </c>
      <c r="W102" s="7">
        <v>3.5000000000000003E-2</v>
      </c>
      <c r="X102" s="7">
        <v>7.8639999999999999</v>
      </c>
      <c r="Y102" s="7">
        <v>0.21199999999999999</v>
      </c>
      <c r="Z102" s="7">
        <v>1.0283</v>
      </c>
      <c r="AA102" s="7">
        <v>1.0202</v>
      </c>
      <c r="AB102" s="7">
        <v>0.95150000000000001</v>
      </c>
      <c r="AC102" s="7">
        <v>-6.4000000000000003E-3</v>
      </c>
      <c r="AD102" s="7">
        <v>-1.8E-3</v>
      </c>
      <c r="AE102" s="7">
        <v>5.3E-3</v>
      </c>
      <c r="AF102" s="7">
        <v>222.3</v>
      </c>
      <c r="AG102" s="7">
        <v>5.7</v>
      </c>
      <c r="AH102" s="7"/>
      <c r="AI102" s="7">
        <v>130.30000000000001</v>
      </c>
      <c r="AJ102" s="7">
        <v>18.399999999999999</v>
      </c>
      <c r="AK102" s="7"/>
      <c r="AL102" s="7">
        <v>329.3</v>
      </c>
      <c r="AM102" s="7">
        <v>70.8</v>
      </c>
      <c r="AN102" s="7">
        <v>0.3</v>
      </c>
      <c r="AO102" s="7">
        <v>331</v>
      </c>
      <c r="AP102" s="7">
        <v>4</v>
      </c>
      <c r="AQ102" s="7">
        <v>61</v>
      </c>
      <c r="AR102" s="7">
        <v>1</v>
      </c>
      <c r="AS102" s="7">
        <v>163</v>
      </c>
      <c r="AT102" s="7">
        <v>86</v>
      </c>
      <c r="AU102" s="7">
        <f>222-180</f>
        <v>42</v>
      </c>
      <c r="AV102" s="7">
        <f>--4</f>
        <v>4</v>
      </c>
      <c r="AW102" s="7">
        <v>132</v>
      </c>
      <c r="AX102" s="7">
        <v>1</v>
      </c>
      <c r="AY102" s="7">
        <v>234</v>
      </c>
      <c r="AZ102" s="7">
        <v>86</v>
      </c>
      <c r="BA102" s="7"/>
      <c r="BB102" s="7"/>
      <c r="BC102">
        <f t="shared" si="12"/>
        <v>42</v>
      </c>
      <c r="BD102">
        <f t="shared" si="12"/>
        <v>4</v>
      </c>
      <c r="BE102" t="s">
        <v>1912</v>
      </c>
    </row>
    <row r="103" spans="1:57">
      <c r="A103" s="7" t="s">
        <v>1930</v>
      </c>
      <c r="B103" s="7" t="s">
        <v>1852</v>
      </c>
      <c r="C103" s="7">
        <v>700</v>
      </c>
      <c r="D103" s="7" t="s">
        <v>1853</v>
      </c>
      <c r="E103" s="7">
        <v>89</v>
      </c>
      <c r="F103" s="7">
        <v>21</v>
      </c>
      <c r="G103" s="7">
        <v>69</v>
      </c>
      <c r="H103" s="7">
        <v>21</v>
      </c>
      <c r="I103" s="7">
        <v>307.5</v>
      </c>
      <c r="J103" s="7">
        <v>6.6000000000000003E-2</v>
      </c>
      <c r="K103" s="7">
        <v>10</v>
      </c>
      <c r="L103" s="7">
        <v>2770</v>
      </c>
      <c r="M103" s="7">
        <v>275</v>
      </c>
      <c r="N103" s="7">
        <v>3279.1</v>
      </c>
      <c r="O103" s="7">
        <v>1.0362</v>
      </c>
      <c r="P103" s="7">
        <v>1.0145999999999999</v>
      </c>
      <c r="Q103" s="7">
        <v>0.94920000000000004</v>
      </c>
      <c r="R103" s="7">
        <v>2.1000000000000001E-2</v>
      </c>
      <c r="S103" s="7">
        <v>6.7000000000000004E-2</v>
      </c>
      <c r="T103" s="7">
        <v>9.1999999999999998E-2</v>
      </c>
      <c r="U103" s="7">
        <v>1.0960000000000001</v>
      </c>
      <c r="V103" s="7">
        <v>0.51800000000000002</v>
      </c>
      <c r="W103" s="7">
        <v>3.6999999999999998E-2</v>
      </c>
      <c r="X103" s="7">
        <v>8.3979999999999997</v>
      </c>
      <c r="Y103" s="7">
        <v>0.28499999999999998</v>
      </c>
      <c r="Z103" s="7">
        <v>1.0270999999999999</v>
      </c>
      <c r="AA103" s="7">
        <v>1.0234000000000001</v>
      </c>
      <c r="AB103" s="7">
        <v>0.94950000000000001</v>
      </c>
      <c r="AC103" s="7">
        <v>-1.0500000000000001E-2</v>
      </c>
      <c r="AD103" s="7">
        <v>-2.5000000000000001E-3</v>
      </c>
      <c r="AE103" s="7">
        <v>4.5999999999999999E-3</v>
      </c>
      <c r="AF103" s="7">
        <v>230.1</v>
      </c>
      <c r="AG103" s="7">
        <v>10.4</v>
      </c>
      <c r="AH103" s="7"/>
      <c r="AI103" s="7">
        <v>136.80000000000001</v>
      </c>
      <c r="AJ103" s="7">
        <v>16.899999999999999</v>
      </c>
      <c r="AK103" s="7"/>
      <c r="AL103" s="7">
        <v>348.2</v>
      </c>
      <c r="AM103" s="7">
        <v>70.400000000000006</v>
      </c>
      <c r="AN103" s="7">
        <v>0.9</v>
      </c>
      <c r="AO103" s="7">
        <v>320</v>
      </c>
      <c r="AP103" s="7">
        <v>3</v>
      </c>
      <c r="AQ103" s="7">
        <v>50</v>
      </c>
      <c r="AR103" s="7">
        <v>1</v>
      </c>
      <c r="AS103" s="7">
        <v>155</v>
      </c>
      <c r="AT103" s="7">
        <v>86</v>
      </c>
      <c r="AU103" s="7">
        <v>227.7</v>
      </c>
      <c r="AV103" s="7">
        <v>3.1</v>
      </c>
      <c r="AW103" s="7">
        <f>180+137.8</f>
        <v>317.8</v>
      </c>
      <c r="AX103" s="7">
        <f>--2.6</f>
        <v>2.6</v>
      </c>
      <c r="AY103" s="7">
        <v>97</v>
      </c>
      <c r="AZ103" s="7">
        <v>86.5</v>
      </c>
      <c r="BA103" s="7"/>
      <c r="BB103" s="7"/>
      <c r="BC103">
        <f t="shared" si="12"/>
        <v>227.7</v>
      </c>
      <c r="BD103">
        <f t="shared" si="12"/>
        <v>3.1</v>
      </c>
      <c r="BE103" t="s">
        <v>1912</v>
      </c>
    </row>
    <row r="104" spans="1:57">
      <c r="A104" t="s">
        <v>1931</v>
      </c>
      <c r="B104" t="s">
        <v>1852</v>
      </c>
      <c r="C104">
        <v>700</v>
      </c>
      <c r="D104" t="s">
        <v>1853</v>
      </c>
      <c r="E104">
        <v>95</v>
      </c>
      <c r="F104">
        <v>76</v>
      </c>
      <c r="G104" s="7">
        <v>69</v>
      </c>
      <c r="H104" s="7">
        <v>21</v>
      </c>
      <c r="I104">
        <v>328.6</v>
      </c>
      <c r="J104">
        <v>0.01</v>
      </c>
      <c r="K104">
        <v>10</v>
      </c>
      <c r="L104">
        <v>120521.5</v>
      </c>
      <c r="M104">
        <v>11625.5</v>
      </c>
      <c r="N104">
        <v>166102.5</v>
      </c>
      <c r="O104">
        <v>1.0348999999999999</v>
      </c>
      <c r="P104">
        <v>1.0165999999999999</v>
      </c>
      <c r="Q104">
        <v>0.94850000000000001</v>
      </c>
      <c r="R104">
        <v>1.7999999999999999E-2</v>
      </c>
      <c r="S104">
        <v>6.9000000000000006E-2</v>
      </c>
      <c r="T104">
        <v>9.1999999999999998E-2</v>
      </c>
      <c r="U104">
        <v>1.0960000000000001</v>
      </c>
      <c r="V104">
        <v>0.59</v>
      </c>
      <c r="W104">
        <v>3.6999999999999998E-2</v>
      </c>
      <c r="X104">
        <v>8.3460000000000001</v>
      </c>
      <c r="Y104">
        <v>0.23699999999999999</v>
      </c>
      <c r="Z104">
        <v>1.0334000000000001</v>
      </c>
      <c r="AA104">
        <v>1.0172000000000001</v>
      </c>
      <c r="AB104">
        <v>0.94940000000000002</v>
      </c>
      <c r="AC104">
        <v>-3.5000000000000001E-3</v>
      </c>
      <c r="AD104">
        <v>-3.3999999999999998E-3</v>
      </c>
      <c r="AE104">
        <v>7.7999999999999996E-3</v>
      </c>
      <c r="AF104">
        <v>267</v>
      </c>
      <c r="AG104">
        <v>10</v>
      </c>
      <c r="AH104">
        <v>0.7</v>
      </c>
      <c r="AI104">
        <v>146</v>
      </c>
      <c r="AJ104">
        <v>70</v>
      </c>
      <c r="AK104">
        <v>0.2</v>
      </c>
      <c r="AL104">
        <v>360</v>
      </c>
      <c r="AM104">
        <v>16</v>
      </c>
      <c r="AN104">
        <v>0.1</v>
      </c>
      <c r="AO104">
        <v>348</v>
      </c>
      <c r="AP104">
        <v>6</v>
      </c>
      <c r="AQ104">
        <v>258</v>
      </c>
      <c r="AR104">
        <v>1</v>
      </c>
      <c r="AS104">
        <v>154</v>
      </c>
      <c r="AT104">
        <v>84</v>
      </c>
      <c r="AU104">
        <v>262.3</v>
      </c>
      <c r="AV104">
        <v>15.7</v>
      </c>
      <c r="AW104">
        <v>152.19999999999999</v>
      </c>
      <c r="AX104">
        <v>49.3</v>
      </c>
      <c r="AY104">
        <v>4</v>
      </c>
      <c r="AZ104">
        <v>35.4</v>
      </c>
      <c r="BC104">
        <f t="shared" si="12"/>
        <v>262.3</v>
      </c>
      <c r="BD104">
        <f t="shared" si="12"/>
        <v>15.7</v>
      </c>
      <c r="BE104" t="s">
        <v>1912</v>
      </c>
    </row>
    <row r="105" spans="1:57">
      <c r="A105" t="s">
        <v>1932</v>
      </c>
      <c r="B105" t="s">
        <v>1852</v>
      </c>
      <c r="C105">
        <v>700</v>
      </c>
      <c r="D105" t="s">
        <v>1853</v>
      </c>
      <c r="E105">
        <v>90</v>
      </c>
      <c r="F105">
        <v>45</v>
      </c>
      <c r="G105" s="7">
        <v>90</v>
      </c>
      <c r="H105" s="7">
        <v>45</v>
      </c>
      <c r="I105">
        <v>98.51</v>
      </c>
      <c r="J105">
        <v>2.3E-2</v>
      </c>
      <c r="K105">
        <v>10</v>
      </c>
      <c r="L105">
        <v>352.7</v>
      </c>
      <c r="M105">
        <v>10.4</v>
      </c>
      <c r="N105">
        <v>552.9</v>
      </c>
      <c r="O105">
        <v>1.0039</v>
      </c>
      <c r="P105">
        <v>1.0026999999999999</v>
      </c>
      <c r="Q105">
        <v>0.99339999999999995</v>
      </c>
      <c r="R105">
        <v>1E-3</v>
      </c>
      <c r="S105">
        <v>8.9999999999999993E-3</v>
      </c>
      <c r="T105">
        <v>1.0999999999999999E-2</v>
      </c>
      <c r="U105">
        <v>1.012</v>
      </c>
      <c r="V105">
        <v>0.76700000000000002</v>
      </c>
      <c r="W105">
        <v>5.0000000000000001E-3</v>
      </c>
      <c r="X105">
        <v>1.0449999999999999</v>
      </c>
      <c r="Y105">
        <v>0.124</v>
      </c>
      <c r="Z105">
        <v>1.0038</v>
      </c>
      <c r="AA105">
        <v>1.0019</v>
      </c>
      <c r="AB105">
        <v>0.99419999999999997</v>
      </c>
      <c r="AC105">
        <v>-2.9999999999999997E-4</v>
      </c>
      <c r="AD105">
        <v>2.5999999999999999E-3</v>
      </c>
      <c r="AE105">
        <v>6.9999999999999999E-4</v>
      </c>
      <c r="AF105">
        <v>265</v>
      </c>
      <c r="AG105">
        <v>1</v>
      </c>
      <c r="AH105">
        <v>21.9</v>
      </c>
      <c r="AI105">
        <v>172</v>
      </c>
      <c r="AJ105">
        <v>62</v>
      </c>
      <c r="AK105">
        <v>2.9</v>
      </c>
      <c r="AL105">
        <v>355</v>
      </c>
      <c r="AM105">
        <v>28</v>
      </c>
      <c r="AN105">
        <v>2.7</v>
      </c>
      <c r="AO105">
        <v>355</v>
      </c>
      <c r="AP105">
        <v>3</v>
      </c>
      <c r="AQ105">
        <v>86</v>
      </c>
      <c r="AR105">
        <v>17</v>
      </c>
      <c r="AS105">
        <v>256</v>
      </c>
      <c r="AT105">
        <v>73</v>
      </c>
      <c r="AU105">
        <f>265.8-180</f>
        <v>85.800000000000011</v>
      </c>
      <c r="AV105">
        <f>--2.8</f>
        <v>2.8</v>
      </c>
      <c r="AW105">
        <v>176.1</v>
      </c>
      <c r="AX105">
        <v>17.2</v>
      </c>
      <c r="AY105">
        <v>345.1</v>
      </c>
      <c r="AZ105">
        <v>72.5</v>
      </c>
      <c r="BC105">
        <f t="shared" si="12"/>
        <v>85.800000000000011</v>
      </c>
      <c r="BD105">
        <f t="shared" si="12"/>
        <v>2.8</v>
      </c>
      <c r="BE105" t="s">
        <v>1912</v>
      </c>
    </row>
    <row r="106" spans="1:57">
      <c r="A106" t="s">
        <v>1933</v>
      </c>
      <c r="B106" t="s">
        <v>1852</v>
      </c>
      <c r="C106">
        <v>700</v>
      </c>
      <c r="D106" t="s">
        <v>1853</v>
      </c>
      <c r="E106">
        <v>54</v>
      </c>
      <c r="F106">
        <v>34</v>
      </c>
      <c r="G106" s="7">
        <v>54</v>
      </c>
      <c r="H106" s="7">
        <v>34</v>
      </c>
      <c r="I106">
        <v>112.5</v>
      </c>
      <c r="J106">
        <v>1.7999999999999999E-2</v>
      </c>
      <c r="K106">
        <v>10</v>
      </c>
      <c r="L106">
        <v>16</v>
      </c>
      <c r="M106">
        <v>0.4</v>
      </c>
      <c r="N106">
        <v>29.3</v>
      </c>
      <c r="O106">
        <v>1.0007999999999999</v>
      </c>
      <c r="P106">
        <v>1.0004999999999999</v>
      </c>
      <c r="Q106">
        <v>0.99870000000000003</v>
      </c>
      <c r="R106">
        <v>0</v>
      </c>
      <c r="S106">
        <v>2E-3</v>
      </c>
      <c r="T106">
        <v>2E-3</v>
      </c>
      <c r="U106">
        <v>1.002</v>
      </c>
      <c r="V106">
        <v>0.80100000000000005</v>
      </c>
      <c r="W106">
        <v>1E-3</v>
      </c>
      <c r="X106">
        <v>0.20499999999999999</v>
      </c>
      <c r="Y106">
        <v>0.105</v>
      </c>
      <c r="Z106">
        <v>1.0003</v>
      </c>
      <c r="AA106">
        <v>1.0001</v>
      </c>
      <c r="AB106">
        <v>0.99960000000000004</v>
      </c>
      <c r="AC106">
        <v>2.9999999999999997E-4</v>
      </c>
      <c r="AD106">
        <v>-8.9999999999999998E-4</v>
      </c>
      <c r="AE106">
        <v>5.0000000000000001E-4</v>
      </c>
      <c r="AF106">
        <v>341</v>
      </c>
      <c r="AG106">
        <v>9</v>
      </c>
      <c r="AH106">
        <v>61.4</v>
      </c>
      <c r="AI106">
        <v>74</v>
      </c>
      <c r="AJ106">
        <v>20</v>
      </c>
      <c r="AK106">
        <v>11.4</v>
      </c>
      <c r="AL106">
        <v>228</v>
      </c>
      <c r="AM106">
        <v>68</v>
      </c>
      <c r="AN106">
        <v>9.4</v>
      </c>
      <c r="AO106">
        <v>292</v>
      </c>
      <c r="AP106">
        <v>41</v>
      </c>
      <c r="AQ106">
        <v>27</v>
      </c>
      <c r="AR106">
        <v>6</v>
      </c>
      <c r="AS106">
        <v>124</v>
      </c>
      <c r="AT106">
        <v>48</v>
      </c>
      <c r="AU106">
        <v>346.5</v>
      </c>
      <c r="AV106">
        <v>41.1</v>
      </c>
      <c r="AW106">
        <v>81.400000000000006</v>
      </c>
      <c r="AX106">
        <v>6</v>
      </c>
      <c r="AY106">
        <v>178.1</v>
      </c>
      <c r="AZ106">
        <v>48.3</v>
      </c>
      <c r="BC106">
        <f t="shared" si="12"/>
        <v>346.5</v>
      </c>
      <c r="BD106">
        <f t="shared" si="12"/>
        <v>41.1</v>
      </c>
      <c r="BE106" t="s">
        <v>1912</v>
      </c>
    </row>
    <row r="107" spans="1:57">
      <c r="A107" t="s">
        <v>1934</v>
      </c>
      <c r="B107" t="s">
        <v>1852</v>
      </c>
      <c r="C107">
        <v>700</v>
      </c>
      <c r="D107" t="s">
        <v>1853</v>
      </c>
      <c r="E107">
        <v>54</v>
      </c>
      <c r="F107">
        <v>34</v>
      </c>
      <c r="G107" s="7">
        <v>54</v>
      </c>
      <c r="H107" s="7">
        <v>34</v>
      </c>
      <c r="I107">
        <v>126.5</v>
      </c>
      <c r="J107">
        <v>1.9E-2</v>
      </c>
      <c r="K107">
        <v>10</v>
      </c>
      <c r="L107">
        <v>115</v>
      </c>
      <c r="M107">
        <v>66.900000000000006</v>
      </c>
      <c r="N107">
        <v>78.7</v>
      </c>
      <c r="O107">
        <v>1.0026999999999999</v>
      </c>
      <c r="P107">
        <v>1.0001</v>
      </c>
      <c r="Q107">
        <v>0.99719999999999998</v>
      </c>
      <c r="R107">
        <v>3.0000000000000001E-3</v>
      </c>
      <c r="S107">
        <v>3.0000000000000001E-3</v>
      </c>
      <c r="T107">
        <v>5.0000000000000001E-3</v>
      </c>
      <c r="U107">
        <v>1.0049999999999999</v>
      </c>
      <c r="V107">
        <v>4.2000000000000003E-2</v>
      </c>
      <c r="W107">
        <v>2E-3</v>
      </c>
      <c r="X107">
        <v>0.54400000000000004</v>
      </c>
      <c r="Y107">
        <v>0.63100000000000001</v>
      </c>
      <c r="Z107">
        <v>1.0023</v>
      </c>
      <c r="AA107">
        <v>1.0001</v>
      </c>
      <c r="AB107">
        <v>0.99760000000000004</v>
      </c>
      <c r="AC107">
        <v>-5.9999999999999995E-4</v>
      </c>
      <c r="AD107">
        <v>2.9999999999999997E-4</v>
      </c>
      <c r="AE107">
        <v>1.2999999999999999E-3</v>
      </c>
      <c r="AF107">
        <v>37</v>
      </c>
      <c r="AG107">
        <v>4</v>
      </c>
      <c r="AH107">
        <v>8.6999999999999993</v>
      </c>
      <c r="AI107">
        <v>131</v>
      </c>
      <c r="AJ107">
        <v>45</v>
      </c>
      <c r="AK107">
        <v>8</v>
      </c>
      <c r="AL107">
        <v>303</v>
      </c>
      <c r="AM107">
        <v>45</v>
      </c>
      <c r="AN107">
        <v>4.0999999999999996</v>
      </c>
      <c r="AO107">
        <v>348</v>
      </c>
      <c r="AP107">
        <v>13</v>
      </c>
      <c r="AQ107">
        <v>80</v>
      </c>
      <c r="AR107">
        <v>12</v>
      </c>
      <c r="AS107">
        <v>211</v>
      </c>
      <c r="AT107">
        <v>72</v>
      </c>
      <c r="AU107">
        <v>42</v>
      </c>
      <c r="AV107">
        <v>12.8</v>
      </c>
      <c r="AW107">
        <v>134.69999999999999</v>
      </c>
      <c r="AX107">
        <v>11.6</v>
      </c>
      <c r="AY107">
        <v>264.89999999999998</v>
      </c>
      <c r="AZ107">
        <v>72.8</v>
      </c>
      <c r="BC107">
        <f t="shared" si="12"/>
        <v>42</v>
      </c>
      <c r="BD107">
        <f t="shared" si="12"/>
        <v>12.8</v>
      </c>
      <c r="BE107" t="s">
        <v>1912</v>
      </c>
    </row>
    <row r="108" spans="1:57">
      <c r="BC108">
        <f>AY85</f>
        <v>332.2</v>
      </c>
      <c r="BD108">
        <f>AZ85</f>
        <v>80.900000000000006</v>
      </c>
      <c r="BE108" t="s">
        <v>1935</v>
      </c>
    </row>
    <row r="109" spans="1:57">
      <c r="BC109">
        <f t="shared" ref="BC109:BD124" si="13">AY86</f>
        <v>156.4</v>
      </c>
      <c r="BD109">
        <f t="shared" si="13"/>
        <v>83.8</v>
      </c>
      <c r="BE109" t="s">
        <v>1935</v>
      </c>
    </row>
    <row r="110" spans="1:57">
      <c r="BC110">
        <f t="shared" si="13"/>
        <v>267.60000000000002</v>
      </c>
      <c r="BD110">
        <f t="shared" si="13"/>
        <v>85.3</v>
      </c>
      <c r="BE110" t="s">
        <v>1935</v>
      </c>
    </row>
    <row r="111" spans="1:57">
      <c r="BC111">
        <f t="shared" si="13"/>
        <v>24</v>
      </c>
      <c r="BD111">
        <f t="shared" si="13"/>
        <v>84.4</v>
      </c>
      <c r="BE111" t="s">
        <v>1935</v>
      </c>
    </row>
    <row r="112" spans="1:57">
      <c r="BC112">
        <f t="shared" si="13"/>
        <v>259</v>
      </c>
      <c r="BD112">
        <f t="shared" si="13"/>
        <v>79</v>
      </c>
      <c r="BE112" t="s">
        <v>1935</v>
      </c>
    </row>
    <row r="113" spans="55:57">
      <c r="BC113">
        <f t="shared" si="13"/>
        <v>23.8</v>
      </c>
      <c r="BD113">
        <f t="shared" si="13"/>
        <v>79.900000000000006</v>
      </c>
      <c r="BE113" t="s">
        <v>1935</v>
      </c>
    </row>
    <row r="114" spans="55:57">
      <c r="BC114">
        <f t="shared" si="13"/>
        <v>246.9</v>
      </c>
      <c r="BD114">
        <f t="shared" si="13"/>
        <v>80</v>
      </c>
      <c r="BE114" t="s">
        <v>1935</v>
      </c>
    </row>
    <row r="115" spans="55:57">
      <c r="BC115">
        <f t="shared" si="13"/>
        <v>332</v>
      </c>
      <c r="BD115">
        <f t="shared" si="13"/>
        <v>81</v>
      </c>
      <c r="BE115" t="s">
        <v>1935</v>
      </c>
    </row>
    <row r="116" spans="55:57">
      <c r="BC116">
        <f t="shared" si="13"/>
        <v>213.9</v>
      </c>
      <c r="BD116">
        <f t="shared" si="13"/>
        <v>85.4</v>
      </c>
      <c r="BE116" t="s">
        <v>1935</v>
      </c>
    </row>
    <row r="117" spans="55:57">
      <c r="BC117">
        <f t="shared" si="13"/>
        <v>264</v>
      </c>
      <c r="BD117">
        <f t="shared" si="13"/>
        <v>88.1</v>
      </c>
      <c r="BE117" t="s">
        <v>1935</v>
      </c>
    </row>
    <row r="118" spans="55:57">
      <c r="BC118">
        <f t="shared" si="13"/>
        <v>12.9</v>
      </c>
      <c r="BD118">
        <f t="shared" si="13"/>
        <v>51.9</v>
      </c>
      <c r="BE118" t="s">
        <v>1935</v>
      </c>
    </row>
    <row r="119" spans="55:57">
      <c r="BC119">
        <f t="shared" si="13"/>
        <v>1.4</v>
      </c>
      <c r="BD119">
        <f t="shared" si="13"/>
        <v>87.6</v>
      </c>
      <c r="BE119" t="s">
        <v>1935</v>
      </c>
    </row>
    <row r="120" spans="55:57">
      <c r="BC120">
        <f t="shared" si="13"/>
        <v>51.7</v>
      </c>
      <c r="BD120">
        <f t="shared" si="13"/>
        <v>88.8</v>
      </c>
      <c r="BE120" t="s">
        <v>1935</v>
      </c>
    </row>
    <row r="121" spans="55:57">
      <c r="BC121">
        <f t="shared" si="13"/>
        <v>177.3</v>
      </c>
      <c r="BD121">
        <f t="shared" si="13"/>
        <v>85</v>
      </c>
      <c r="BE121" t="s">
        <v>1935</v>
      </c>
    </row>
    <row r="122" spans="55:57">
      <c r="BC122">
        <f t="shared" si="13"/>
        <v>33.4</v>
      </c>
      <c r="BD122">
        <f t="shared" si="13"/>
        <v>87.6</v>
      </c>
      <c r="BE122" t="s">
        <v>1935</v>
      </c>
    </row>
    <row r="123" spans="55:57">
      <c r="BC123">
        <f t="shared" si="13"/>
        <v>310</v>
      </c>
      <c r="BD123">
        <f t="shared" si="13"/>
        <v>83</v>
      </c>
      <c r="BE123" t="s">
        <v>1935</v>
      </c>
    </row>
    <row r="124" spans="55:57">
      <c r="BC124">
        <f t="shared" si="13"/>
        <v>294.10000000000002</v>
      </c>
      <c r="BD124">
        <f t="shared" si="13"/>
        <v>87</v>
      </c>
      <c r="BE124" t="s">
        <v>1935</v>
      </c>
    </row>
    <row r="125" spans="55:57">
      <c r="BC125">
        <f t="shared" ref="BC125:BD130" si="14">AY102</f>
        <v>234</v>
      </c>
      <c r="BD125">
        <f t="shared" si="14"/>
        <v>86</v>
      </c>
      <c r="BE125" t="s">
        <v>1935</v>
      </c>
    </row>
    <row r="126" spans="55:57">
      <c r="BC126">
        <f t="shared" si="14"/>
        <v>97</v>
      </c>
      <c r="BD126">
        <f t="shared" si="14"/>
        <v>86.5</v>
      </c>
      <c r="BE126" t="s">
        <v>1935</v>
      </c>
    </row>
    <row r="127" spans="55:57">
      <c r="BC127">
        <f t="shared" si="14"/>
        <v>4</v>
      </c>
      <c r="BD127">
        <f t="shared" si="14"/>
        <v>35.4</v>
      </c>
      <c r="BE127" t="s">
        <v>1935</v>
      </c>
    </row>
    <row r="128" spans="55:57">
      <c r="BC128">
        <f t="shared" si="14"/>
        <v>345.1</v>
      </c>
      <c r="BD128">
        <f t="shared" si="14"/>
        <v>72.5</v>
      </c>
      <c r="BE128" t="s">
        <v>1935</v>
      </c>
    </row>
    <row r="129" spans="55:57">
      <c r="BC129">
        <f t="shared" si="14"/>
        <v>178.1</v>
      </c>
      <c r="BD129">
        <f t="shared" si="14"/>
        <v>48.3</v>
      </c>
      <c r="BE129" t="s">
        <v>1935</v>
      </c>
    </row>
    <row r="130" spans="55:57">
      <c r="BC130">
        <f t="shared" si="14"/>
        <v>264.89999999999998</v>
      </c>
      <c r="BD130">
        <f t="shared" si="14"/>
        <v>72.8</v>
      </c>
      <c r="BE130" t="s">
        <v>1935</v>
      </c>
    </row>
  </sheetData>
  <conditionalFormatting sqref="AU1:AZ9 AU11:AZ21 AU23:AZ56 BC1 BF1">
    <cfRule type="cellIs" dxfId="10" priority="10" operator="lessThan">
      <formula>0</formula>
    </cfRule>
  </conditionalFormatting>
  <conditionalFormatting sqref="AM104:AM107 AM85:AM88 AM90 AM93:AM94 AM99">
    <cfRule type="cellIs" dxfId="9" priority="9" operator="lessThan">
      <formula>45</formula>
    </cfRule>
  </conditionalFormatting>
  <conditionalFormatting sqref="AG104:AG107 AG85:AG88 AG90 AG93:AG94 AG99">
    <cfRule type="cellIs" dxfId="8" priority="8" operator="greaterThan">
      <formula>21.5</formula>
    </cfRule>
  </conditionalFormatting>
  <conditionalFormatting sqref="AF89:AG89 AI89:AJ89 AL89:AM89">
    <cfRule type="cellIs" dxfId="7" priority="7" operator="lessThan">
      <formula>0</formula>
    </cfRule>
  </conditionalFormatting>
  <conditionalFormatting sqref="AF91:AG91 AI91:AJ91 AL91:AM91">
    <cfRule type="cellIs" dxfId="6" priority="6" operator="lessThan">
      <formula>0</formula>
    </cfRule>
  </conditionalFormatting>
  <conditionalFormatting sqref="AF92:AG92 AI92:AJ92 AL92:AM92">
    <cfRule type="cellIs" dxfId="5" priority="5" operator="lessThan">
      <formula>0</formula>
    </cfRule>
  </conditionalFormatting>
  <conditionalFormatting sqref="AF95:AG98 AI95:AJ98 AL95:AM98">
    <cfRule type="cellIs" dxfId="4" priority="4" operator="lessThan">
      <formula>0</formula>
    </cfRule>
  </conditionalFormatting>
  <conditionalFormatting sqref="AF100:AG103 AI100:AJ103 AL100:AM103">
    <cfRule type="cellIs" dxfId="3" priority="3" operator="lessThan">
      <formula>0</formula>
    </cfRule>
  </conditionalFormatting>
  <conditionalFormatting sqref="AU84:AZ107">
    <cfRule type="cellIs" dxfId="2" priority="2" operator="lessThan">
      <formula>0</formula>
    </cfRule>
  </conditionalFormatting>
  <conditionalFormatting sqref="BC82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J56"/>
  <sheetViews>
    <sheetView topLeftCell="I1" workbookViewId="0">
      <selection activeCell="L63" sqref="L63"/>
    </sheetView>
  </sheetViews>
  <sheetFormatPr defaultRowHeight="15"/>
  <cols>
    <col min="1" max="1" width="9.5703125" customWidth="1"/>
    <col min="2" max="2" width="9.140625" style="51"/>
    <col min="3" max="3" width="10.28515625" customWidth="1"/>
    <col min="4" max="4" width="19.5703125" customWidth="1"/>
    <col min="6" max="6" width="9.140625" style="2"/>
    <col min="7" max="7" width="6.7109375" style="51" customWidth="1"/>
    <col min="8" max="8" width="9.85546875" customWidth="1"/>
    <col min="9" max="9" width="11.5703125" customWidth="1"/>
    <col min="11" max="11" width="9.140625" style="2"/>
    <col min="13" max="13" width="9.85546875" customWidth="1"/>
    <col min="17" max="17" width="9.140625" style="2"/>
    <col min="18" max="18" width="9.140625" style="51"/>
    <col min="20" max="20" width="10.7109375" customWidth="1"/>
    <col min="22" max="22" width="9.140625" style="2"/>
    <col min="23" max="23" width="9.140625" style="51"/>
    <col min="27" max="27" width="9.140625" style="2"/>
    <col min="32" max="32" width="9.140625" style="2"/>
  </cols>
  <sheetData>
    <row r="1" spans="1:36">
      <c r="A1" t="s">
        <v>725</v>
      </c>
      <c r="V1" s="71" t="s">
        <v>726</v>
      </c>
    </row>
    <row r="2" spans="1:36" s="152" customFormat="1" ht="75">
      <c r="A2" s="152" t="s">
        <v>727</v>
      </c>
      <c r="B2" s="153" t="s">
        <v>728</v>
      </c>
      <c r="C2" s="152" t="s">
        <v>729</v>
      </c>
      <c r="F2" s="154" t="s">
        <v>727</v>
      </c>
      <c r="G2" s="153" t="s">
        <v>728</v>
      </c>
      <c r="H2" s="152" t="s">
        <v>729</v>
      </c>
      <c r="K2" s="154" t="s">
        <v>727</v>
      </c>
      <c r="L2" s="152" t="s">
        <v>728</v>
      </c>
      <c r="M2" s="152" t="s">
        <v>729</v>
      </c>
      <c r="Q2" s="154" t="s">
        <v>727</v>
      </c>
      <c r="R2" s="153" t="s">
        <v>728</v>
      </c>
      <c r="S2" s="152" t="s">
        <v>729</v>
      </c>
      <c r="V2" s="154" t="s">
        <v>727</v>
      </c>
      <c r="W2" s="153" t="s">
        <v>728</v>
      </c>
      <c r="X2" s="152" t="s">
        <v>729</v>
      </c>
      <c r="AA2" s="154" t="s">
        <v>727</v>
      </c>
      <c r="AB2" s="152" t="s">
        <v>728</v>
      </c>
      <c r="AC2" s="152" t="s">
        <v>729</v>
      </c>
      <c r="AF2" s="154"/>
    </row>
    <row r="3" spans="1:36" ht="54.75" customHeight="1">
      <c r="B3" s="153">
        <v>-0.9</v>
      </c>
      <c r="C3" s="152"/>
      <c r="D3" t="s">
        <v>730</v>
      </c>
      <c r="G3" s="153">
        <v>0</v>
      </c>
      <c r="H3" s="153">
        <f>C45</f>
        <v>0.75</v>
      </c>
      <c r="I3" s="152" t="s">
        <v>731</v>
      </c>
      <c r="L3">
        <v>-0.23</v>
      </c>
      <c r="M3" s="51">
        <f>L3+H$42</f>
        <v>12.969999999999999</v>
      </c>
      <c r="N3" t="s">
        <v>732</v>
      </c>
      <c r="R3" s="51">
        <v>0</v>
      </c>
      <c r="S3" s="51">
        <f>R3+(M$31-R$45)</f>
        <v>19.27</v>
      </c>
      <c r="T3" s="152" t="s">
        <v>733</v>
      </c>
      <c r="V3" s="2" t="s">
        <v>734</v>
      </c>
      <c r="W3" s="51">
        <v>0</v>
      </c>
      <c r="X3" s="51">
        <f>S44</f>
        <v>31.619999999999997</v>
      </c>
      <c r="Y3" s="152" t="s">
        <v>735</v>
      </c>
      <c r="AB3">
        <v>0</v>
      </c>
      <c r="AC3" s="51">
        <f>X35</f>
        <v>45.5</v>
      </c>
      <c r="AD3" s="152" t="s">
        <v>736</v>
      </c>
      <c r="AG3">
        <v>-2</v>
      </c>
      <c r="AH3" s="51">
        <f>AG3+(AC$29-AG$42)</f>
        <v>55.25</v>
      </c>
      <c r="AI3" s="152" t="s">
        <v>737</v>
      </c>
    </row>
    <row r="4" spans="1:36">
      <c r="A4" t="s">
        <v>738</v>
      </c>
      <c r="B4" s="51">
        <v>-0.05</v>
      </c>
      <c r="C4" s="51">
        <f>B4-B$54</f>
        <v>-9.9</v>
      </c>
      <c r="F4" s="2" t="s">
        <v>739</v>
      </c>
      <c r="G4" s="51">
        <v>3.95</v>
      </c>
      <c r="H4" s="51">
        <f>G4+H$3</f>
        <v>4.7</v>
      </c>
      <c r="K4" s="2" t="s">
        <v>740</v>
      </c>
      <c r="L4">
        <v>-0.18</v>
      </c>
      <c r="M4" s="51">
        <f t="shared" ref="M4:M34" si="0">L4+H$42</f>
        <v>13.02</v>
      </c>
      <c r="Q4" s="2" t="s">
        <v>741</v>
      </c>
      <c r="R4" s="51">
        <v>0.32</v>
      </c>
      <c r="S4" s="51">
        <f>R4+(M$31-R$45)</f>
        <v>19.59</v>
      </c>
      <c r="V4" s="2" t="s">
        <v>742</v>
      </c>
      <c r="W4" s="51">
        <v>0.88</v>
      </c>
      <c r="X4" s="51">
        <f>X$3+W4</f>
        <v>32.5</v>
      </c>
      <c r="Z4" s="152"/>
      <c r="AA4" s="2" t="s">
        <v>743</v>
      </c>
      <c r="AB4">
        <v>0.5</v>
      </c>
      <c r="AC4" s="51">
        <f>AB4+AC$3</f>
        <v>46</v>
      </c>
      <c r="AF4" s="2" t="s">
        <v>744</v>
      </c>
      <c r="AG4">
        <v>-1</v>
      </c>
      <c r="AH4" s="51">
        <f t="shared" ref="AH4:AH41" si="1">AG4+(AC$29-AG$42)</f>
        <v>56.25</v>
      </c>
      <c r="AJ4" s="51"/>
    </row>
    <row r="5" spans="1:36">
      <c r="A5" t="s">
        <v>745</v>
      </c>
      <c r="B5" s="51">
        <v>0.43</v>
      </c>
      <c r="C5" s="51">
        <f t="shared" ref="C5:C56" si="2">B5-B$54</f>
        <v>-9.42</v>
      </c>
      <c r="F5" s="2" t="s">
        <v>746</v>
      </c>
      <c r="G5" s="51">
        <v>4.4000000000000004</v>
      </c>
      <c r="H5" s="51">
        <f t="shared" ref="H5:H44" si="3">G5+H$3</f>
        <v>5.15</v>
      </c>
      <c r="K5" s="2" t="s">
        <v>747</v>
      </c>
      <c r="L5">
        <v>0.25</v>
      </c>
      <c r="M5" s="51">
        <f t="shared" si="0"/>
        <v>13.45</v>
      </c>
      <c r="Q5" s="2" t="s">
        <v>748</v>
      </c>
      <c r="R5" s="51">
        <v>0.64</v>
      </c>
      <c r="S5" s="51">
        <f t="shared" ref="S5:S46" si="4">R5+(M$31-R$45)</f>
        <v>19.91</v>
      </c>
      <c r="V5" s="2" t="s">
        <v>749</v>
      </c>
      <c r="W5" s="51">
        <v>1.25</v>
      </c>
      <c r="X5" s="51">
        <f t="shared" ref="X5:X35" si="5">X$3+W5</f>
        <v>32.869999999999997</v>
      </c>
      <c r="AA5" s="2" t="s">
        <v>750</v>
      </c>
      <c r="AB5">
        <v>0.9</v>
      </c>
      <c r="AC5" s="51">
        <f t="shared" ref="AC5:AC29" si="6">AB5+AC$3</f>
        <v>46.4</v>
      </c>
      <c r="AF5" s="2" t="s">
        <v>751</v>
      </c>
      <c r="AG5">
        <v>-0.74</v>
      </c>
      <c r="AH5" s="51">
        <f t="shared" si="1"/>
        <v>56.51</v>
      </c>
    </row>
    <row r="6" spans="1:36">
      <c r="A6" t="s">
        <v>752</v>
      </c>
      <c r="B6" s="51">
        <v>0.88</v>
      </c>
      <c r="C6" s="51">
        <f t="shared" si="2"/>
        <v>-8.9699999999999989</v>
      </c>
      <c r="F6" s="2" t="s">
        <v>753</v>
      </c>
      <c r="G6" s="51">
        <v>4.6900000000000004</v>
      </c>
      <c r="H6" s="51">
        <f t="shared" si="3"/>
        <v>5.44</v>
      </c>
      <c r="K6" s="2" t="s">
        <v>754</v>
      </c>
      <c r="L6">
        <v>0.73</v>
      </c>
      <c r="M6" s="51">
        <f t="shared" si="0"/>
        <v>13.93</v>
      </c>
      <c r="Q6" s="2" t="s">
        <v>755</v>
      </c>
      <c r="R6" s="51">
        <v>1</v>
      </c>
      <c r="S6" s="51">
        <f t="shared" si="4"/>
        <v>20.27</v>
      </c>
      <c r="V6" s="2" t="s">
        <v>756</v>
      </c>
      <c r="W6" s="51">
        <v>1.6</v>
      </c>
      <c r="X6" s="51">
        <f t="shared" si="5"/>
        <v>33.22</v>
      </c>
      <c r="AA6" s="2" t="s">
        <v>757</v>
      </c>
      <c r="AB6">
        <v>1.18</v>
      </c>
      <c r="AC6" s="51">
        <f t="shared" si="6"/>
        <v>46.68</v>
      </c>
      <c r="AF6" s="2" t="s">
        <v>758</v>
      </c>
      <c r="AG6">
        <v>-0.4</v>
      </c>
      <c r="AH6" s="51">
        <f t="shared" si="1"/>
        <v>56.85</v>
      </c>
    </row>
    <row r="7" spans="1:36">
      <c r="A7" t="s">
        <v>759</v>
      </c>
      <c r="B7" s="51">
        <v>1.25</v>
      </c>
      <c r="C7" s="51">
        <f t="shared" si="2"/>
        <v>-8.6</v>
      </c>
      <c r="F7" s="2" t="s">
        <v>760</v>
      </c>
      <c r="G7" s="51">
        <v>4.88</v>
      </c>
      <c r="H7" s="51">
        <f t="shared" si="3"/>
        <v>5.63</v>
      </c>
      <c r="K7" s="2" t="s">
        <v>761</v>
      </c>
      <c r="L7">
        <v>0.98</v>
      </c>
      <c r="M7" s="51">
        <f t="shared" si="0"/>
        <v>14.18</v>
      </c>
      <c r="Q7" s="2" t="s">
        <v>762</v>
      </c>
      <c r="R7" s="51">
        <v>1.36</v>
      </c>
      <c r="S7" s="51">
        <f t="shared" si="4"/>
        <v>20.63</v>
      </c>
      <c r="V7" s="2" t="s">
        <v>763</v>
      </c>
      <c r="W7" s="51">
        <v>2.96</v>
      </c>
      <c r="X7" s="51">
        <f t="shared" si="5"/>
        <v>34.58</v>
      </c>
      <c r="AA7" s="2" t="s">
        <v>764</v>
      </c>
      <c r="AB7">
        <v>1.87</v>
      </c>
      <c r="AC7" s="51">
        <f t="shared" si="6"/>
        <v>47.37</v>
      </c>
      <c r="AF7" s="2" t="s">
        <v>765</v>
      </c>
      <c r="AG7">
        <v>0</v>
      </c>
      <c r="AH7" s="51">
        <f t="shared" si="1"/>
        <v>57.25</v>
      </c>
    </row>
    <row r="8" spans="1:36">
      <c r="A8" t="s">
        <v>766</v>
      </c>
      <c r="B8" s="51">
        <v>1.52</v>
      </c>
      <c r="C8" s="51">
        <f t="shared" si="2"/>
        <v>-8.33</v>
      </c>
      <c r="F8" s="2" t="s">
        <v>767</v>
      </c>
      <c r="G8" s="51">
        <v>5.29</v>
      </c>
      <c r="H8" s="51">
        <f t="shared" si="3"/>
        <v>6.04</v>
      </c>
      <c r="K8" s="2" t="s">
        <v>768</v>
      </c>
      <c r="L8">
        <v>1.45</v>
      </c>
      <c r="M8" s="51">
        <f t="shared" si="0"/>
        <v>14.649999999999999</v>
      </c>
      <c r="Q8" s="2" t="s">
        <v>769</v>
      </c>
      <c r="R8" s="51">
        <v>1.67</v>
      </c>
      <c r="S8" s="51">
        <f t="shared" si="4"/>
        <v>20.939999999999998</v>
      </c>
      <c r="V8" s="2" t="s">
        <v>770</v>
      </c>
      <c r="W8" s="51">
        <v>3.28</v>
      </c>
      <c r="X8" s="51">
        <f t="shared" si="5"/>
        <v>34.9</v>
      </c>
      <c r="AA8" s="2" t="s">
        <v>771</v>
      </c>
      <c r="AB8">
        <v>2.5</v>
      </c>
      <c r="AC8" s="51">
        <f t="shared" si="6"/>
        <v>48</v>
      </c>
      <c r="AF8" s="2" t="s">
        <v>772</v>
      </c>
      <c r="AG8">
        <v>0.4</v>
      </c>
      <c r="AH8" s="51">
        <f t="shared" si="1"/>
        <v>57.65</v>
      </c>
    </row>
    <row r="9" spans="1:36">
      <c r="A9" t="s">
        <v>773</v>
      </c>
      <c r="B9" s="51">
        <v>1.88</v>
      </c>
      <c r="C9" s="51">
        <f t="shared" si="2"/>
        <v>-7.97</v>
      </c>
      <c r="F9" s="2" t="s">
        <v>774</v>
      </c>
      <c r="G9" s="51">
        <v>5.61</v>
      </c>
      <c r="H9" s="51">
        <f t="shared" si="3"/>
        <v>6.36</v>
      </c>
      <c r="K9" s="2" t="s">
        <v>775</v>
      </c>
      <c r="L9">
        <v>1.83</v>
      </c>
      <c r="M9" s="51">
        <f t="shared" si="0"/>
        <v>15.03</v>
      </c>
      <c r="Q9" s="2" t="s">
        <v>776</v>
      </c>
      <c r="R9" s="51">
        <v>1.82</v>
      </c>
      <c r="S9" s="51">
        <f t="shared" si="4"/>
        <v>21.09</v>
      </c>
      <c r="V9" s="2" t="s">
        <v>777</v>
      </c>
      <c r="W9" s="51">
        <v>3.6</v>
      </c>
      <c r="X9" s="51">
        <f t="shared" si="5"/>
        <v>35.22</v>
      </c>
      <c r="AA9" s="2" t="s">
        <v>778</v>
      </c>
      <c r="AB9">
        <v>3.06</v>
      </c>
      <c r="AC9" s="51">
        <f t="shared" si="6"/>
        <v>48.56</v>
      </c>
      <c r="AF9" s="2" t="s">
        <v>779</v>
      </c>
      <c r="AG9">
        <v>0.68</v>
      </c>
      <c r="AH9" s="51">
        <f t="shared" si="1"/>
        <v>57.93</v>
      </c>
    </row>
    <row r="10" spans="1:36">
      <c r="A10" t="s">
        <v>780</v>
      </c>
      <c r="B10" s="51">
        <v>2.13</v>
      </c>
      <c r="C10" s="51">
        <f t="shared" si="2"/>
        <v>-7.72</v>
      </c>
      <c r="F10" s="2" t="s">
        <v>781</v>
      </c>
      <c r="G10" s="51">
        <v>6</v>
      </c>
      <c r="H10" s="51">
        <f t="shared" si="3"/>
        <v>6.75</v>
      </c>
      <c r="K10" s="2" t="s">
        <v>782</v>
      </c>
      <c r="L10">
        <v>2.19</v>
      </c>
      <c r="M10" s="51">
        <f t="shared" si="0"/>
        <v>15.389999999999999</v>
      </c>
      <c r="Q10" s="2" t="s">
        <v>783</v>
      </c>
      <c r="R10" s="51">
        <v>2.06</v>
      </c>
      <c r="S10" s="51">
        <f t="shared" si="4"/>
        <v>21.33</v>
      </c>
      <c r="V10" s="2" t="s">
        <v>784</v>
      </c>
      <c r="W10" s="51">
        <v>3.85</v>
      </c>
      <c r="X10" s="51">
        <f t="shared" si="5"/>
        <v>35.47</v>
      </c>
      <c r="AA10" s="2" t="s">
        <v>785</v>
      </c>
      <c r="AB10">
        <v>3.62</v>
      </c>
      <c r="AC10" s="51">
        <f t="shared" si="6"/>
        <v>49.12</v>
      </c>
      <c r="AF10" s="2" t="s">
        <v>786</v>
      </c>
      <c r="AG10">
        <v>0.98</v>
      </c>
      <c r="AH10" s="51">
        <f t="shared" si="1"/>
        <v>58.23</v>
      </c>
    </row>
    <row r="11" spans="1:36">
      <c r="A11" t="s">
        <v>787</v>
      </c>
      <c r="B11" s="51">
        <v>2.4</v>
      </c>
      <c r="C11" s="51">
        <f t="shared" si="2"/>
        <v>-7.4499999999999993</v>
      </c>
      <c r="F11" s="2" t="s">
        <v>788</v>
      </c>
      <c r="G11" s="51">
        <v>6.19</v>
      </c>
      <c r="H11" s="51">
        <f t="shared" si="3"/>
        <v>6.94</v>
      </c>
      <c r="K11" s="2" t="s">
        <v>789</v>
      </c>
      <c r="L11">
        <v>2.5299999999999998</v>
      </c>
      <c r="M11" s="51">
        <f t="shared" si="0"/>
        <v>15.729999999999999</v>
      </c>
      <c r="Q11" s="2" t="s">
        <v>790</v>
      </c>
      <c r="R11" s="51">
        <v>2.2599999999999998</v>
      </c>
      <c r="S11" s="51">
        <f t="shared" si="4"/>
        <v>21.53</v>
      </c>
      <c r="V11" s="2" t="s">
        <v>791</v>
      </c>
      <c r="W11" s="51">
        <v>4.1900000000000004</v>
      </c>
      <c r="X11" s="51">
        <f t="shared" si="5"/>
        <v>35.809999999999995</v>
      </c>
      <c r="AA11" s="2" t="s">
        <v>792</v>
      </c>
      <c r="AB11">
        <v>4.17</v>
      </c>
      <c r="AC11" s="51">
        <f t="shared" si="6"/>
        <v>49.67</v>
      </c>
      <c r="AF11" s="2" t="s">
        <v>793</v>
      </c>
      <c r="AG11">
        <v>1.5</v>
      </c>
      <c r="AH11" s="51">
        <f t="shared" si="1"/>
        <v>58.75</v>
      </c>
    </row>
    <row r="12" spans="1:36">
      <c r="A12" t="s">
        <v>794</v>
      </c>
      <c r="B12" s="51">
        <v>2.65</v>
      </c>
      <c r="C12" s="51">
        <f t="shared" si="2"/>
        <v>-7.1999999999999993</v>
      </c>
      <c r="F12" s="2" t="s">
        <v>795</v>
      </c>
      <c r="G12" s="51">
        <v>6.51</v>
      </c>
      <c r="H12" s="51">
        <f t="shared" si="3"/>
        <v>7.26</v>
      </c>
      <c r="K12" s="2" t="s">
        <v>796</v>
      </c>
      <c r="L12">
        <v>2.84</v>
      </c>
      <c r="M12" s="51">
        <f t="shared" si="0"/>
        <v>16.04</v>
      </c>
      <c r="Q12" s="2" t="s">
        <v>797</v>
      </c>
      <c r="R12" s="51">
        <v>2.62</v>
      </c>
      <c r="S12" s="51">
        <f t="shared" si="4"/>
        <v>21.89</v>
      </c>
      <c r="V12" s="2" t="s">
        <v>798</v>
      </c>
      <c r="W12" s="51">
        <v>4.6100000000000003</v>
      </c>
      <c r="X12" s="51">
        <f t="shared" si="5"/>
        <v>36.229999999999997</v>
      </c>
      <c r="AA12" s="2" t="s">
        <v>799</v>
      </c>
      <c r="AB12">
        <v>4.8</v>
      </c>
      <c r="AC12" s="51">
        <f t="shared" si="6"/>
        <v>50.3</v>
      </c>
      <c r="AF12" s="2" t="s">
        <v>800</v>
      </c>
      <c r="AG12">
        <v>2.2999999999999998</v>
      </c>
      <c r="AH12" s="51">
        <f t="shared" si="1"/>
        <v>59.55</v>
      </c>
    </row>
    <row r="13" spans="1:36">
      <c r="A13" t="s">
        <v>801</v>
      </c>
      <c r="B13" s="51">
        <v>2.97</v>
      </c>
      <c r="C13" s="51">
        <f t="shared" si="2"/>
        <v>-6.879999999999999</v>
      </c>
      <c r="F13" s="2" t="s">
        <v>802</v>
      </c>
      <c r="G13" s="51">
        <v>6.74</v>
      </c>
      <c r="H13" s="51">
        <f t="shared" si="3"/>
        <v>7.49</v>
      </c>
      <c r="K13" s="2" t="s">
        <v>803</v>
      </c>
      <c r="L13">
        <v>3.16</v>
      </c>
      <c r="M13" s="51">
        <f t="shared" si="0"/>
        <v>16.36</v>
      </c>
      <c r="Q13" s="2" t="s">
        <v>804</v>
      </c>
      <c r="R13" s="51">
        <v>2.86</v>
      </c>
      <c r="S13" s="51">
        <f t="shared" si="4"/>
        <v>22.13</v>
      </c>
      <c r="V13" s="2" t="s">
        <v>805</v>
      </c>
      <c r="W13" s="51">
        <v>5</v>
      </c>
      <c r="X13" s="51">
        <f t="shared" si="5"/>
        <v>36.619999999999997</v>
      </c>
      <c r="AA13" s="2" t="s">
        <v>806</v>
      </c>
      <c r="AB13">
        <v>5.5</v>
      </c>
      <c r="AC13" s="51">
        <f t="shared" si="6"/>
        <v>51</v>
      </c>
      <c r="AF13" s="2" t="s">
        <v>807</v>
      </c>
      <c r="AG13">
        <v>2.63</v>
      </c>
      <c r="AH13" s="51">
        <f t="shared" si="1"/>
        <v>59.88</v>
      </c>
    </row>
    <row r="14" spans="1:36">
      <c r="A14" t="s">
        <v>808</v>
      </c>
      <c r="B14" s="51">
        <v>3.17</v>
      </c>
      <c r="C14" s="51">
        <f t="shared" si="2"/>
        <v>-6.68</v>
      </c>
      <c r="F14" s="2" t="s">
        <v>809</v>
      </c>
      <c r="G14" s="51">
        <v>6.95</v>
      </c>
      <c r="H14" s="51">
        <f t="shared" si="3"/>
        <v>7.7</v>
      </c>
      <c r="K14" s="2" t="s">
        <v>810</v>
      </c>
      <c r="L14">
        <v>3.56</v>
      </c>
      <c r="M14" s="51">
        <f t="shared" si="0"/>
        <v>16.759999999999998</v>
      </c>
      <c r="Q14" s="2" t="s">
        <v>811</v>
      </c>
      <c r="R14" s="51">
        <v>3.14</v>
      </c>
      <c r="S14" s="51">
        <f t="shared" si="4"/>
        <v>22.41</v>
      </c>
      <c r="V14" s="2" t="s">
        <v>812</v>
      </c>
      <c r="W14" s="51">
        <v>5.18</v>
      </c>
      <c r="X14" s="51">
        <f t="shared" si="5"/>
        <v>36.799999999999997</v>
      </c>
      <c r="AA14" s="2" t="s">
        <v>813</v>
      </c>
      <c r="AB14">
        <v>6.08</v>
      </c>
      <c r="AC14" s="51">
        <f t="shared" si="6"/>
        <v>51.58</v>
      </c>
      <c r="AF14" s="2" t="s">
        <v>814</v>
      </c>
      <c r="AG14">
        <v>2.9</v>
      </c>
      <c r="AH14" s="51">
        <f t="shared" si="1"/>
        <v>60.15</v>
      </c>
    </row>
    <row r="15" spans="1:36">
      <c r="A15" t="s">
        <v>815</v>
      </c>
      <c r="B15" s="51">
        <v>3.9</v>
      </c>
      <c r="C15" s="51">
        <f t="shared" si="2"/>
        <v>-5.9499999999999993</v>
      </c>
      <c r="F15" s="2" t="s">
        <v>816</v>
      </c>
      <c r="G15" s="51">
        <v>7.33</v>
      </c>
      <c r="H15" s="51">
        <f t="shared" si="3"/>
        <v>8.08</v>
      </c>
      <c r="K15" s="2" t="s">
        <v>817</v>
      </c>
      <c r="L15">
        <v>4.1399999999999997</v>
      </c>
      <c r="M15" s="51">
        <f t="shared" si="0"/>
        <v>17.34</v>
      </c>
      <c r="Q15" s="2" t="s">
        <v>818</v>
      </c>
      <c r="R15" s="51">
        <v>3.42</v>
      </c>
      <c r="S15" s="51">
        <f t="shared" si="4"/>
        <v>22.689999999999998</v>
      </c>
      <c r="V15" s="2" t="s">
        <v>819</v>
      </c>
      <c r="W15" s="51">
        <v>5.47</v>
      </c>
      <c r="X15" s="51">
        <f t="shared" si="5"/>
        <v>37.089999999999996</v>
      </c>
      <c r="AA15" s="2" t="s">
        <v>820</v>
      </c>
      <c r="AB15">
        <v>6.52</v>
      </c>
      <c r="AC15" s="51">
        <f t="shared" si="6"/>
        <v>52.019999999999996</v>
      </c>
      <c r="AF15" s="2" t="s">
        <v>821</v>
      </c>
      <c r="AG15">
        <v>3.19</v>
      </c>
      <c r="AH15" s="51">
        <f t="shared" si="1"/>
        <v>60.44</v>
      </c>
    </row>
    <row r="16" spans="1:36">
      <c r="A16" t="s">
        <v>822</v>
      </c>
      <c r="B16" s="51">
        <v>4.2</v>
      </c>
      <c r="C16" s="51">
        <f t="shared" si="2"/>
        <v>-5.6499999999999995</v>
      </c>
      <c r="F16" s="2" t="s">
        <v>823</v>
      </c>
      <c r="G16" s="51">
        <v>7.58</v>
      </c>
      <c r="H16" s="51">
        <f t="shared" si="3"/>
        <v>8.33</v>
      </c>
      <c r="K16" s="2" t="s">
        <v>824</v>
      </c>
      <c r="L16">
        <v>4.5</v>
      </c>
      <c r="M16" s="51">
        <f t="shared" si="0"/>
        <v>17.7</v>
      </c>
      <c r="Q16" s="2" t="s">
        <v>825</v>
      </c>
      <c r="R16" s="51">
        <v>3.73</v>
      </c>
      <c r="S16" s="51">
        <f t="shared" si="4"/>
        <v>23</v>
      </c>
      <c r="V16" s="2" t="s">
        <v>826</v>
      </c>
      <c r="W16" s="51">
        <v>5.76</v>
      </c>
      <c r="X16" s="51">
        <f t="shared" si="5"/>
        <v>37.379999999999995</v>
      </c>
      <c r="AA16" s="2" t="s">
        <v>827</v>
      </c>
      <c r="AB16">
        <v>6.98</v>
      </c>
      <c r="AC16" s="51">
        <f t="shared" si="6"/>
        <v>52.480000000000004</v>
      </c>
      <c r="AF16" s="2" t="s">
        <v>828</v>
      </c>
      <c r="AG16">
        <v>3.28</v>
      </c>
      <c r="AH16" s="51">
        <f t="shared" si="1"/>
        <v>60.53</v>
      </c>
    </row>
    <row r="17" spans="1:34">
      <c r="A17" t="s">
        <v>829</v>
      </c>
      <c r="B17" s="51">
        <v>4.5</v>
      </c>
      <c r="C17" s="51">
        <f t="shared" si="2"/>
        <v>-5.35</v>
      </c>
      <c r="F17" s="2" t="s">
        <v>830</v>
      </c>
      <c r="G17" s="51">
        <v>7.75</v>
      </c>
      <c r="H17" s="51">
        <f t="shared" si="3"/>
        <v>8.5</v>
      </c>
      <c r="K17" s="2" t="s">
        <v>831</v>
      </c>
      <c r="L17">
        <v>5.43</v>
      </c>
      <c r="M17" s="51">
        <f t="shared" si="0"/>
        <v>18.63</v>
      </c>
      <c r="Q17" s="2" t="s">
        <v>832</v>
      </c>
      <c r="R17" s="51">
        <v>3.86</v>
      </c>
      <c r="S17" s="51">
        <f t="shared" si="4"/>
        <v>23.13</v>
      </c>
      <c r="V17" s="2" t="s">
        <v>833</v>
      </c>
      <c r="W17" s="51">
        <v>0.2</v>
      </c>
      <c r="X17" s="51">
        <f t="shared" si="5"/>
        <v>31.819999999999997</v>
      </c>
      <c r="AA17" s="2" t="s">
        <v>834</v>
      </c>
      <c r="AB17">
        <v>7.55</v>
      </c>
      <c r="AC17" s="51">
        <f t="shared" si="6"/>
        <v>53.05</v>
      </c>
      <c r="AF17" s="2" t="s">
        <v>835</v>
      </c>
      <c r="AG17">
        <v>3.59</v>
      </c>
      <c r="AH17" s="51">
        <f t="shared" si="1"/>
        <v>60.84</v>
      </c>
    </row>
    <row r="18" spans="1:34">
      <c r="A18" t="s">
        <v>836</v>
      </c>
      <c r="B18" s="51">
        <v>4.9000000000000004</v>
      </c>
      <c r="C18" s="51">
        <f t="shared" si="2"/>
        <v>-4.9499999999999993</v>
      </c>
      <c r="F18" s="2" t="s">
        <v>837</v>
      </c>
      <c r="G18" s="51">
        <v>8.0399999999999991</v>
      </c>
      <c r="H18" s="51">
        <f t="shared" si="3"/>
        <v>8.7899999999999991</v>
      </c>
      <c r="K18" s="2" t="s">
        <v>838</v>
      </c>
      <c r="L18">
        <v>7.67</v>
      </c>
      <c r="M18" s="51">
        <f t="shared" si="0"/>
        <v>20.869999999999997</v>
      </c>
      <c r="Q18" s="2" t="s">
        <v>839</v>
      </c>
      <c r="R18" s="51">
        <v>4.1500000000000004</v>
      </c>
      <c r="S18" s="51">
        <f t="shared" si="4"/>
        <v>23.42</v>
      </c>
      <c r="V18" s="2" t="s">
        <v>840</v>
      </c>
      <c r="W18" s="51">
        <v>0.56000000000000005</v>
      </c>
      <c r="X18" s="51">
        <f t="shared" si="5"/>
        <v>32.18</v>
      </c>
      <c r="AA18" s="2" t="s">
        <v>841</v>
      </c>
      <c r="AB18">
        <v>8</v>
      </c>
      <c r="AC18" s="51">
        <f t="shared" si="6"/>
        <v>53.5</v>
      </c>
      <c r="AF18" s="2" t="s">
        <v>842</v>
      </c>
      <c r="AG18">
        <v>4</v>
      </c>
      <c r="AH18" s="51">
        <f t="shared" si="1"/>
        <v>61.25</v>
      </c>
    </row>
    <row r="19" spans="1:34">
      <c r="A19" t="s">
        <v>843</v>
      </c>
      <c r="B19" s="51">
        <v>5.15</v>
      </c>
      <c r="C19" s="51">
        <f t="shared" si="2"/>
        <v>-4.6999999999999993</v>
      </c>
      <c r="F19" s="2" t="s">
        <v>844</v>
      </c>
      <c r="G19" s="51">
        <v>8.35</v>
      </c>
      <c r="H19" s="51">
        <f t="shared" si="3"/>
        <v>9.1</v>
      </c>
      <c r="K19" s="2" t="s">
        <v>845</v>
      </c>
      <c r="L19">
        <v>7.9</v>
      </c>
      <c r="M19" s="51">
        <f t="shared" si="0"/>
        <v>21.1</v>
      </c>
      <c r="Q19" s="2" t="s">
        <v>846</v>
      </c>
      <c r="R19" s="51">
        <v>4.3</v>
      </c>
      <c r="S19" s="51">
        <f t="shared" si="4"/>
        <v>23.57</v>
      </c>
      <c r="V19" s="2" t="s">
        <v>847</v>
      </c>
      <c r="W19" s="51">
        <v>0.92</v>
      </c>
      <c r="X19" s="51">
        <f t="shared" si="5"/>
        <v>32.54</v>
      </c>
      <c r="AA19" s="2" t="s">
        <v>848</v>
      </c>
      <c r="AB19">
        <v>8.42</v>
      </c>
      <c r="AC19" s="51">
        <f t="shared" si="6"/>
        <v>53.92</v>
      </c>
      <c r="AF19" s="2" t="s">
        <v>849</v>
      </c>
      <c r="AG19">
        <v>4.46</v>
      </c>
      <c r="AH19" s="51">
        <f t="shared" si="1"/>
        <v>61.71</v>
      </c>
    </row>
    <row r="20" spans="1:34">
      <c r="A20" t="s">
        <v>850</v>
      </c>
      <c r="B20" s="51">
        <v>5.15</v>
      </c>
      <c r="C20" s="51">
        <f t="shared" si="2"/>
        <v>-4.6999999999999993</v>
      </c>
      <c r="F20" s="2" t="s">
        <v>851</v>
      </c>
      <c r="G20" s="51">
        <v>8.68</v>
      </c>
      <c r="H20" s="51">
        <f t="shared" si="3"/>
        <v>9.43</v>
      </c>
      <c r="K20" s="2" t="s">
        <v>852</v>
      </c>
      <c r="L20">
        <v>8.49</v>
      </c>
      <c r="M20" s="51">
        <f t="shared" si="0"/>
        <v>21.689999999999998</v>
      </c>
      <c r="Q20" s="2" t="s">
        <v>853</v>
      </c>
      <c r="R20" s="51">
        <v>4.59</v>
      </c>
      <c r="S20" s="51">
        <f t="shared" si="4"/>
        <v>23.86</v>
      </c>
      <c r="V20" s="2" t="s">
        <v>854</v>
      </c>
      <c r="W20" s="51">
        <v>1.5</v>
      </c>
      <c r="X20" s="51">
        <f t="shared" si="5"/>
        <v>33.119999999999997</v>
      </c>
      <c r="AA20" s="2" t="s">
        <v>855</v>
      </c>
      <c r="AB20">
        <v>8.74</v>
      </c>
      <c r="AC20" s="51">
        <f t="shared" si="6"/>
        <v>54.24</v>
      </c>
      <c r="AF20" s="2" t="s">
        <v>856</v>
      </c>
      <c r="AG20">
        <v>4.9400000000000004</v>
      </c>
      <c r="AH20" s="51">
        <f t="shared" si="1"/>
        <v>62.19</v>
      </c>
    </row>
    <row r="21" spans="1:34">
      <c r="A21" t="s">
        <v>857</v>
      </c>
      <c r="B21" s="51">
        <v>5.32</v>
      </c>
      <c r="C21" s="51">
        <f t="shared" si="2"/>
        <v>-4.5299999999999994</v>
      </c>
      <c r="F21" s="2" t="s">
        <v>858</v>
      </c>
      <c r="G21" s="51">
        <v>8.9</v>
      </c>
      <c r="H21" s="51">
        <f t="shared" si="3"/>
        <v>9.65</v>
      </c>
      <c r="K21" s="2" t="s">
        <v>859</v>
      </c>
      <c r="L21">
        <v>8.74</v>
      </c>
      <c r="M21" s="51">
        <f t="shared" si="0"/>
        <v>21.939999999999998</v>
      </c>
      <c r="Q21" s="2" t="s">
        <v>860</v>
      </c>
      <c r="R21" s="51">
        <v>4.8</v>
      </c>
      <c r="S21" s="51">
        <f t="shared" si="4"/>
        <v>24.07</v>
      </c>
      <c r="V21" s="2" t="s">
        <v>861</v>
      </c>
      <c r="W21" s="51">
        <v>2.1</v>
      </c>
      <c r="X21" s="51">
        <f t="shared" si="5"/>
        <v>33.72</v>
      </c>
      <c r="AA21" s="2" t="s">
        <v>862</v>
      </c>
      <c r="AB21">
        <v>9.07</v>
      </c>
      <c r="AC21" s="51">
        <f t="shared" si="6"/>
        <v>54.57</v>
      </c>
      <c r="AF21" s="2" t="s">
        <v>863</v>
      </c>
      <c r="AG21">
        <v>5.3</v>
      </c>
      <c r="AH21" s="51">
        <f t="shared" si="1"/>
        <v>62.55</v>
      </c>
    </row>
    <row r="22" spans="1:34">
      <c r="A22" t="s">
        <v>864</v>
      </c>
      <c r="B22" s="51">
        <v>5.46</v>
      </c>
      <c r="C22" s="51">
        <f t="shared" si="2"/>
        <v>-4.3899999999999997</v>
      </c>
      <c r="F22" s="2" t="s">
        <v>865</v>
      </c>
      <c r="G22" s="51">
        <v>9.02</v>
      </c>
      <c r="H22" s="51">
        <f t="shared" si="3"/>
        <v>9.77</v>
      </c>
      <c r="K22" s="2" t="s">
        <v>866</v>
      </c>
      <c r="L22">
        <v>9.26</v>
      </c>
      <c r="M22" s="51">
        <f t="shared" si="0"/>
        <v>22.46</v>
      </c>
      <c r="Q22" s="2" t="s">
        <v>867</v>
      </c>
      <c r="R22" s="51">
        <v>5.24</v>
      </c>
      <c r="S22" s="51">
        <f t="shared" si="4"/>
        <v>24.509999999999998</v>
      </c>
      <c r="V22" s="2" t="s">
        <v>868</v>
      </c>
      <c r="W22" s="51">
        <v>2.4</v>
      </c>
      <c r="X22" s="51">
        <f t="shared" si="5"/>
        <v>34.019999999999996</v>
      </c>
      <c r="AA22" s="2" t="s">
        <v>869</v>
      </c>
      <c r="AB22">
        <v>9.6</v>
      </c>
      <c r="AC22" s="51">
        <f t="shared" si="6"/>
        <v>55.1</v>
      </c>
      <c r="AF22" s="2" t="s">
        <v>870</v>
      </c>
      <c r="AG22">
        <v>5.6</v>
      </c>
      <c r="AH22" s="51">
        <f t="shared" si="1"/>
        <v>62.85</v>
      </c>
    </row>
    <row r="23" spans="1:34">
      <c r="A23" t="s">
        <v>871</v>
      </c>
      <c r="B23" s="51">
        <v>5.67</v>
      </c>
      <c r="C23" s="51">
        <f t="shared" si="2"/>
        <v>-4.18</v>
      </c>
      <c r="F23" s="2" t="s">
        <v>872</v>
      </c>
      <c r="G23" s="51">
        <v>9.36</v>
      </c>
      <c r="H23" s="51">
        <f t="shared" si="3"/>
        <v>10.11</v>
      </c>
      <c r="K23" s="2" t="s">
        <v>873</v>
      </c>
      <c r="L23">
        <v>9.4499999999999993</v>
      </c>
      <c r="M23" s="51">
        <f t="shared" si="0"/>
        <v>22.65</v>
      </c>
      <c r="Q23" s="2" t="s">
        <v>874</v>
      </c>
      <c r="R23" s="51">
        <v>5.5</v>
      </c>
      <c r="S23" s="51">
        <f t="shared" si="4"/>
        <v>24.77</v>
      </c>
      <c r="V23" s="2" t="s">
        <v>875</v>
      </c>
      <c r="W23" s="51">
        <v>2.68</v>
      </c>
      <c r="X23" s="51">
        <f t="shared" si="5"/>
        <v>34.299999999999997</v>
      </c>
      <c r="AA23" s="2" t="s">
        <v>876</v>
      </c>
      <c r="AB23">
        <v>10.18</v>
      </c>
      <c r="AC23" s="51">
        <f t="shared" si="6"/>
        <v>55.68</v>
      </c>
      <c r="AF23" s="2" t="s">
        <v>877</v>
      </c>
      <c r="AG23">
        <v>6.11</v>
      </c>
      <c r="AH23" s="51">
        <f t="shared" si="1"/>
        <v>63.36</v>
      </c>
    </row>
    <row r="24" spans="1:34">
      <c r="A24" t="s">
        <v>878</v>
      </c>
      <c r="B24" s="51">
        <v>6.2</v>
      </c>
      <c r="C24" s="51">
        <f t="shared" si="2"/>
        <v>-3.6499999999999995</v>
      </c>
      <c r="F24" s="2" t="s">
        <v>879</v>
      </c>
      <c r="G24" s="51">
        <v>9.57</v>
      </c>
      <c r="H24" s="51">
        <f t="shared" si="3"/>
        <v>10.32</v>
      </c>
      <c r="K24" s="2" t="s">
        <v>880</v>
      </c>
      <c r="L24">
        <v>9.9600000000000009</v>
      </c>
      <c r="M24" s="51">
        <f t="shared" si="0"/>
        <v>23.16</v>
      </c>
      <c r="Q24" s="2" t="s">
        <v>881</v>
      </c>
      <c r="R24" s="51">
        <v>5.75</v>
      </c>
      <c r="S24" s="51">
        <f t="shared" si="4"/>
        <v>25.02</v>
      </c>
      <c r="V24" s="2" t="s">
        <v>882</v>
      </c>
      <c r="W24" s="51">
        <v>5.86</v>
      </c>
      <c r="X24" s="51">
        <f t="shared" si="5"/>
        <v>37.479999999999997</v>
      </c>
      <c r="AA24" s="2" t="s">
        <v>883</v>
      </c>
      <c r="AB24">
        <v>10.64</v>
      </c>
      <c r="AC24" s="51">
        <f t="shared" si="6"/>
        <v>56.14</v>
      </c>
      <c r="AF24" s="2" t="s">
        <v>884</v>
      </c>
      <c r="AG24">
        <v>6.44</v>
      </c>
      <c r="AH24" s="51">
        <f t="shared" si="1"/>
        <v>63.69</v>
      </c>
    </row>
    <row r="25" spans="1:34">
      <c r="A25" t="s">
        <v>885</v>
      </c>
      <c r="B25" s="51">
        <v>6.31</v>
      </c>
      <c r="C25" s="51">
        <f t="shared" si="2"/>
        <v>-3.54</v>
      </c>
      <c r="F25" s="2" t="s">
        <v>886</v>
      </c>
      <c r="G25" s="51">
        <v>9.65</v>
      </c>
      <c r="H25" s="51">
        <f t="shared" si="3"/>
        <v>10.4</v>
      </c>
      <c r="I25" t="s">
        <v>887</v>
      </c>
      <c r="K25" s="2" t="s">
        <v>888</v>
      </c>
      <c r="L25">
        <v>10.54</v>
      </c>
      <c r="M25" s="51">
        <f t="shared" si="0"/>
        <v>23.74</v>
      </c>
      <c r="Q25" s="2" t="s">
        <v>889</v>
      </c>
      <c r="R25" s="51">
        <v>6.08</v>
      </c>
      <c r="S25" s="51">
        <f t="shared" si="4"/>
        <v>25.35</v>
      </c>
      <c r="V25" s="2" t="s">
        <v>890</v>
      </c>
      <c r="W25" s="51">
        <v>6.42</v>
      </c>
      <c r="X25" s="51">
        <f t="shared" si="5"/>
        <v>38.04</v>
      </c>
      <c r="AA25" s="2" t="s">
        <v>891</v>
      </c>
      <c r="AB25">
        <v>11.23</v>
      </c>
      <c r="AC25" s="51">
        <f t="shared" si="6"/>
        <v>56.730000000000004</v>
      </c>
      <c r="AF25" s="2" t="s">
        <v>892</v>
      </c>
      <c r="AG25">
        <v>6.71</v>
      </c>
      <c r="AH25" s="51">
        <f t="shared" si="1"/>
        <v>63.96</v>
      </c>
    </row>
    <row r="26" spans="1:34">
      <c r="A26" t="s">
        <v>893</v>
      </c>
      <c r="B26" s="51">
        <v>6.56</v>
      </c>
      <c r="C26" s="51">
        <f t="shared" si="2"/>
        <v>-3.29</v>
      </c>
      <c r="F26" s="2" t="s">
        <v>894</v>
      </c>
      <c r="G26" s="51">
        <v>10.33</v>
      </c>
      <c r="H26" s="51">
        <f t="shared" si="3"/>
        <v>11.08</v>
      </c>
      <c r="K26" s="2" t="s">
        <v>895</v>
      </c>
      <c r="L26">
        <v>10.83</v>
      </c>
      <c r="M26" s="51">
        <f t="shared" si="0"/>
        <v>24.03</v>
      </c>
      <c r="Q26" s="2" t="s">
        <v>896</v>
      </c>
      <c r="R26" s="51">
        <v>6.34</v>
      </c>
      <c r="S26" s="51">
        <f t="shared" si="4"/>
        <v>25.61</v>
      </c>
      <c r="V26" s="2" t="s">
        <v>897</v>
      </c>
      <c r="W26" s="51">
        <v>6.85</v>
      </c>
      <c r="X26" s="51">
        <f t="shared" si="5"/>
        <v>38.47</v>
      </c>
      <c r="AA26" s="2" t="s">
        <v>898</v>
      </c>
      <c r="AB26">
        <v>11.85</v>
      </c>
      <c r="AC26" s="51">
        <f t="shared" si="6"/>
        <v>57.35</v>
      </c>
      <c r="AF26" s="2" t="s">
        <v>899</v>
      </c>
      <c r="AG26">
        <v>6.92</v>
      </c>
      <c r="AH26" s="51">
        <f t="shared" si="1"/>
        <v>64.17</v>
      </c>
    </row>
    <row r="27" spans="1:34">
      <c r="A27" t="s">
        <v>900</v>
      </c>
      <c r="B27" s="51">
        <v>6.75</v>
      </c>
      <c r="C27" s="51">
        <f t="shared" si="2"/>
        <v>-3.0999999999999996</v>
      </c>
      <c r="F27" s="2" t="s">
        <v>901</v>
      </c>
      <c r="G27" s="51">
        <v>10.62</v>
      </c>
      <c r="H27" s="51">
        <f t="shared" si="3"/>
        <v>11.37</v>
      </c>
      <c r="I27" t="s">
        <v>902</v>
      </c>
      <c r="K27" s="2" t="s">
        <v>903</v>
      </c>
      <c r="L27">
        <v>11.1</v>
      </c>
      <c r="M27" s="51">
        <f t="shared" si="0"/>
        <v>24.299999999999997</v>
      </c>
      <c r="Q27" s="2" t="s">
        <v>904</v>
      </c>
      <c r="R27" s="51">
        <v>6.7</v>
      </c>
      <c r="S27" s="51">
        <f t="shared" si="4"/>
        <v>25.97</v>
      </c>
      <c r="V27" s="2" t="s">
        <v>905</v>
      </c>
      <c r="W27" s="51">
        <v>7.4</v>
      </c>
      <c r="X27" s="51">
        <f t="shared" si="5"/>
        <v>39.019999999999996</v>
      </c>
      <c r="AA27" s="2" t="s">
        <v>906</v>
      </c>
      <c r="AB27">
        <v>12.3</v>
      </c>
      <c r="AC27" s="51">
        <f t="shared" si="6"/>
        <v>57.8</v>
      </c>
      <c r="AF27" s="2" t="s">
        <v>907</v>
      </c>
      <c r="AG27">
        <v>7.4</v>
      </c>
      <c r="AH27" s="51">
        <f t="shared" si="1"/>
        <v>64.650000000000006</v>
      </c>
    </row>
    <row r="28" spans="1:34">
      <c r="A28" t="s">
        <v>908</v>
      </c>
      <c r="B28" s="51">
        <v>7</v>
      </c>
      <c r="C28" s="51">
        <f t="shared" si="2"/>
        <v>-2.8499999999999996</v>
      </c>
      <c r="F28" s="2" t="s">
        <v>909</v>
      </c>
      <c r="G28" s="51">
        <v>10.65</v>
      </c>
      <c r="H28" s="51">
        <f t="shared" si="3"/>
        <v>11.4</v>
      </c>
      <c r="I28" t="s">
        <v>910</v>
      </c>
      <c r="K28" s="2" t="s">
        <v>911</v>
      </c>
      <c r="L28">
        <v>11.37</v>
      </c>
      <c r="M28" s="51">
        <f t="shared" si="0"/>
        <v>24.57</v>
      </c>
      <c r="Q28" s="2" t="s">
        <v>912</v>
      </c>
      <c r="R28" s="51">
        <v>6.75</v>
      </c>
      <c r="S28" s="51">
        <f t="shared" si="4"/>
        <v>26.02</v>
      </c>
      <c r="V28" s="2" t="s">
        <v>913</v>
      </c>
      <c r="W28" s="51">
        <v>7.46</v>
      </c>
      <c r="X28" s="51">
        <f t="shared" si="5"/>
        <v>39.08</v>
      </c>
      <c r="AB28">
        <v>12.5</v>
      </c>
      <c r="AC28" s="51">
        <f t="shared" si="6"/>
        <v>58</v>
      </c>
      <c r="AD28" t="s">
        <v>914</v>
      </c>
      <c r="AF28" s="2" t="s">
        <v>915</v>
      </c>
      <c r="AG28">
        <v>7.9</v>
      </c>
      <c r="AH28" s="51">
        <f t="shared" si="1"/>
        <v>65.150000000000006</v>
      </c>
    </row>
    <row r="29" spans="1:34">
      <c r="A29" t="s">
        <v>916</v>
      </c>
      <c r="B29" s="51">
        <v>7.16</v>
      </c>
      <c r="C29" s="51">
        <f t="shared" si="2"/>
        <v>-2.6899999999999995</v>
      </c>
      <c r="F29" s="2" t="s">
        <v>917</v>
      </c>
      <c r="G29" s="51">
        <v>10.9</v>
      </c>
      <c r="H29" s="51">
        <f t="shared" si="3"/>
        <v>11.65</v>
      </c>
      <c r="K29" s="2" t="s">
        <v>911</v>
      </c>
      <c r="L29">
        <v>11.62</v>
      </c>
      <c r="M29" s="51">
        <f t="shared" si="0"/>
        <v>24.82</v>
      </c>
      <c r="Q29" s="2" t="s">
        <v>918</v>
      </c>
      <c r="R29" s="51">
        <v>7.07</v>
      </c>
      <c r="S29" s="51">
        <f t="shared" si="4"/>
        <v>26.34</v>
      </c>
      <c r="V29" s="2" t="s">
        <v>919</v>
      </c>
      <c r="W29" s="51">
        <v>8.2200000000000006</v>
      </c>
      <c r="X29" s="51">
        <f t="shared" si="5"/>
        <v>39.839999999999996</v>
      </c>
      <c r="AB29">
        <v>12.25</v>
      </c>
      <c r="AC29" s="51">
        <f t="shared" si="6"/>
        <v>57.75</v>
      </c>
      <c r="AD29" t="s">
        <v>920</v>
      </c>
      <c r="AF29" s="2" t="s">
        <v>921</v>
      </c>
      <c r="AG29">
        <v>8.35</v>
      </c>
      <c r="AH29" s="51">
        <f t="shared" si="1"/>
        <v>65.599999999999994</v>
      </c>
    </row>
    <row r="30" spans="1:34">
      <c r="A30" t="s">
        <v>922</v>
      </c>
      <c r="B30" s="51">
        <v>7.43</v>
      </c>
      <c r="C30" s="51">
        <f t="shared" si="2"/>
        <v>-2.42</v>
      </c>
      <c r="F30" s="2" t="s">
        <v>923</v>
      </c>
      <c r="G30" s="51">
        <v>11.08</v>
      </c>
      <c r="H30" s="51">
        <f t="shared" si="3"/>
        <v>11.83</v>
      </c>
      <c r="K30" s="2" t="s">
        <v>924</v>
      </c>
      <c r="L30">
        <v>11.75</v>
      </c>
      <c r="M30" s="51">
        <f t="shared" si="0"/>
        <v>24.95</v>
      </c>
      <c r="N30" t="s">
        <v>925</v>
      </c>
      <c r="Q30" s="2" t="s">
        <v>926</v>
      </c>
      <c r="R30" s="51">
        <v>7.4</v>
      </c>
      <c r="S30" s="51">
        <f t="shared" si="4"/>
        <v>26.67</v>
      </c>
      <c r="V30" s="2" t="s">
        <v>927</v>
      </c>
      <c r="W30" s="51">
        <v>8.77</v>
      </c>
      <c r="X30" s="51">
        <f t="shared" si="5"/>
        <v>40.39</v>
      </c>
      <c r="AB30" t="s">
        <v>928</v>
      </c>
      <c r="AF30" s="2" t="s">
        <v>929</v>
      </c>
      <c r="AG30">
        <v>8.76</v>
      </c>
      <c r="AH30" s="51">
        <f t="shared" si="1"/>
        <v>66.010000000000005</v>
      </c>
    </row>
    <row r="31" spans="1:34">
      <c r="A31" t="s">
        <v>930</v>
      </c>
      <c r="B31" s="51">
        <v>7.68</v>
      </c>
      <c r="C31" s="51">
        <f t="shared" si="2"/>
        <v>-2.17</v>
      </c>
      <c r="F31" s="2" t="s">
        <v>931</v>
      </c>
      <c r="G31" s="51">
        <v>11.27</v>
      </c>
      <c r="H31" s="51">
        <f t="shared" si="3"/>
        <v>12.02</v>
      </c>
      <c r="L31">
        <v>11.25</v>
      </c>
      <c r="M31" s="51">
        <f t="shared" si="0"/>
        <v>24.45</v>
      </c>
      <c r="N31" t="s">
        <v>932</v>
      </c>
      <c r="Q31" s="2" t="s">
        <v>933</v>
      </c>
      <c r="R31" s="51">
        <v>7.61</v>
      </c>
      <c r="S31" s="51">
        <f t="shared" si="4"/>
        <v>26.88</v>
      </c>
      <c r="V31" s="2" t="s">
        <v>934</v>
      </c>
      <c r="W31" s="51">
        <v>9.0500000000000007</v>
      </c>
      <c r="X31" s="51">
        <f t="shared" si="5"/>
        <v>40.67</v>
      </c>
      <c r="AB31" t="s">
        <v>935</v>
      </c>
      <c r="AF31" s="2" t="s">
        <v>936</v>
      </c>
      <c r="AG31">
        <v>9.26</v>
      </c>
      <c r="AH31" s="51">
        <f t="shared" si="1"/>
        <v>66.510000000000005</v>
      </c>
    </row>
    <row r="32" spans="1:34">
      <c r="A32" t="s">
        <v>937</v>
      </c>
      <c r="B32" s="51">
        <v>8.0500000000000007</v>
      </c>
      <c r="C32" s="51">
        <f t="shared" si="2"/>
        <v>-1.7999999999999989</v>
      </c>
      <c r="F32" s="2" t="s">
        <v>938</v>
      </c>
      <c r="G32" s="51">
        <v>11.43</v>
      </c>
      <c r="H32" s="51">
        <f t="shared" si="3"/>
        <v>12.18</v>
      </c>
      <c r="Q32" s="2" t="s">
        <v>939</v>
      </c>
      <c r="R32" s="51">
        <v>7.82</v>
      </c>
      <c r="S32" s="51">
        <f t="shared" si="4"/>
        <v>27.09</v>
      </c>
      <c r="V32" s="2" t="s">
        <v>940</v>
      </c>
      <c r="W32" s="51">
        <v>9.5399999999999991</v>
      </c>
      <c r="X32" s="51">
        <f t="shared" si="5"/>
        <v>41.16</v>
      </c>
      <c r="AB32" t="s">
        <v>941</v>
      </c>
      <c r="AF32" s="2" t="s">
        <v>942</v>
      </c>
      <c r="AG32">
        <v>9.74</v>
      </c>
      <c r="AH32" s="51">
        <f t="shared" si="1"/>
        <v>66.989999999999995</v>
      </c>
    </row>
    <row r="33" spans="1:35">
      <c r="A33" t="s">
        <v>943</v>
      </c>
      <c r="B33" s="51">
        <v>8.4</v>
      </c>
      <c r="C33" s="51">
        <f t="shared" si="2"/>
        <v>-1.4499999999999993</v>
      </c>
      <c r="F33" s="2" t="s">
        <v>944</v>
      </c>
      <c r="G33" s="51">
        <v>11.51</v>
      </c>
      <c r="H33" s="51">
        <f t="shared" si="3"/>
        <v>12.26</v>
      </c>
      <c r="L33">
        <v>0</v>
      </c>
      <c r="M33" s="51">
        <f t="shared" si="0"/>
        <v>13.2</v>
      </c>
      <c r="Q33" s="2" t="s">
        <v>945</v>
      </c>
      <c r="R33" s="51">
        <v>8.01</v>
      </c>
      <c r="S33" s="51">
        <f t="shared" si="4"/>
        <v>27.28</v>
      </c>
      <c r="V33" s="2" t="s">
        <v>946</v>
      </c>
      <c r="W33" s="51">
        <v>10.06</v>
      </c>
      <c r="X33" s="51">
        <f t="shared" si="5"/>
        <v>41.68</v>
      </c>
      <c r="AB33">
        <v>12</v>
      </c>
      <c r="AC33" s="51">
        <f t="shared" ref="AC33" si="7">AB33+AC$3</f>
        <v>57.5</v>
      </c>
      <c r="AF33" s="2" t="s">
        <v>947</v>
      </c>
      <c r="AG33">
        <v>10.15</v>
      </c>
      <c r="AH33" s="51">
        <f t="shared" si="1"/>
        <v>67.400000000000006</v>
      </c>
    </row>
    <row r="34" spans="1:35">
      <c r="A34" t="s">
        <v>948</v>
      </c>
      <c r="B34" s="51">
        <v>8.4</v>
      </c>
      <c r="C34" s="51">
        <f t="shared" si="2"/>
        <v>-1.4499999999999993</v>
      </c>
      <c r="F34" s="2" t="s">
        <v>949</v>
      </c>
      <c r="G34" s="51">
        <v>11.72</v>
      </c>
      <c r="H34" s="51">
        <f t="shared" si="3"/>
        <v>12.47</v>
      </c>
      <c r="L34">
        <v>12</v>
      </c>
      <c r="M34" s="51">
        <f t="shared" si="0"/>
        <v>25.2</v>
      </c>
      <c r="Q34" s="2" t="s">
        <v>950</v>
      </c>
      <c r="R34" s="51">
        <v>8.48</v>
      </c>
      <c r="S34" s="51">
        <f t="shared" si="4"/>
        <v>27.75</v>
      </c>
      <c r="V34" s="2" t="s">
        <v>951</v>
      </c>
      <c r="W34" s="51">
        <v>11.38</v>
      </c>
      <c r="X34" s="51">
        <f t="shared" si="5"/>
        <v>43</v>
      </c>
      <c r="AF34" s="2" t="s">
        <v>952</v>
      </c>
      <c r="AG34">
        <v>11.18</v>
      </c>
      <c r="AH34" s="51">
        <f t="shared" si="1"/>
        <v>68.430000000000007</v>
      </c>
    </row>
    <row r="35" spans="1:35">
      <c r="A35" t="s">
        <v>953</v>
      </c>
      <c r="B35" s="51">
        <v>8.5299999999999994</v>
      </c>
      <c r="C35" s="51">
        <f t="shared" si="2"/>
        <v>-1.3200000000000003</v>
      </c>
      <c r="F35" s="2" t="s">
        <v>954</v>
      </c>
      <c r="G35" s="51">
        <v>11.93</v>
      </c>
      <c r="H35" s="51">
        <f t="shared" si="3"/>
        <v>12.68</v>
      </c>
      <c r="Q35" s="2" t="s">
        <v>955</v>
      </c>
      <c r="R35" s="51">
        <v>8.85</v>
      </c>
      <c r="S35" s="51">
        <f t="shared" si="4"/>
        <v>28.119999999999997</v>
      </c>
      <c r="W35" s="51">
        <f>W34+2.5</f>
        <v>13.88</v>
      </c>
      <c r="X35" s="51">
        <f t="shared" si="5"/>
        <v>45.5</v>
      </c>
      <c r="Y35" t="s">
        <v>956</v>
      </c>
      <c r="AB35" s="116" t="s">
        <v>957</v>
      </c>
      <c r="AF35" s="2" t="s">
        <v>958</v>
      </c>
      <c r="AG35">
        <v>11.68</v>
      </c>
      <c r="AH35" s="51">
        <f t="shared" si="1"/>
        <v>68.930000000000007</v>
      </c>
    </row>
    <row r="36" spans="1:35">
      <c r="A36" t="s">
        <v>959</v>
      </c>
      <c r="B36" s="51">
        <v>8.6999999999999993</v>
      </c>
      <c r="C36" s="51">
        <f t="shared" si="2"/>
        <v>-1.1500000000000004</v>
      </c>
      <c r="F36" s="2" t="s">
        <v>960</v>
      </c>
      <c r="G36" s="51">
        <v>12.12</v>
      </c>
      <c r="H36" s="51">
        <f t="shared" si="3"/>
        <v>12.87</v>
      </c>
      <c r="Q36" s="2" t="s">
        <v>961</v>
      </c>
      <c r="R36" s="51">
        <v>9</v>
      </c>
      <c r="S36" s="51">
        <f t="shared" si="4"/>
        <v>28.27</v>
      </c>
      <c r="Y36" t="s">
        <v>962</v>
      </c>
      <c r="AB36" s="116" t="s">
        <v>963</v>
      </c>
      <c r="AF36" s="2" t="s">
        <v>964</v>
      </c>
      <c r="AG36">
        <v>12.48</v>
      </c>
      <c r="AH36" s="51">
        <f t="shared" si="1"/>
        <v>69.73</v>
      </c>
    </row>
    <row r="37" spans="1:35">
      <c r="A37" t="s">
        <v>965</v>
      </c>
      <c r="B37" s="51">
        <v>8.9</v>
      </c>
      <c r="C37" s="51">
        <f t="shared" si="2"/>
        <v>-0.94999999999999929</v>
      </c>
      <c r="F37" s="2" t="s">
        <v>966</v>
      </c>
      <c r="G37" s="51">
        <v>12.28</v>
      </c>
      <c r="H37" s="51">
        <f t="shared" si="3"/>
        <v>13.03</v>
      </c>
      <c r="Q37" s="2" t="s">
        <v>967</v>
      </c>
      <c r="R37" s="51">
        <v>9.75</v>
      </c>
      <c r="S37" s="51">
        <f t="shared" si="4"/>
        <v>29.02</v>
      </c>
      <c r="Y37" t="s">
        <v>968</v>
      </c>
      <c r="AB37" s="116" t="s">
        <v>969</v>
      </c>
      <c r="AF37" s="2" t="s">
        <v>970</v>
      </c>
      <c r="AG37">
        <v>12.93</v>
      </c>
      <c r="AH37" s="51">
        <f t="shared" si="1"/>
        <v>70.180000000000007</v>
      </c>
    </row>
    <row r="38" spans="1:35">
      <c r="A38" t="s">
        <v>971</v>
      </c>
      <c r="B38" s="51">
        <v>9.1</v>
      </c>
      <c r="C38" s="51">
        <f t="shared" si="2"/>
        <v>-0.75</v>
      </c>
      <c r="F38" s="2" t="s">
        <v>972</v>
      </c>
      <c r="G38" s="51">
        <v>12.69</v>
      </c>
      <c r="H38" s="51">
        <f t="shared" si="3"/>
        <v>13.44</v>
      </c>
      <c r="Q38" s="2" t="s">
        <v>973</v>
      </c>
      <c r="S38" s="51"/>
      <c r="W38" s="51">
        <v>12</v>
      </c>
      <c r="X38" s="51">
        <f t="shared" ref="X38" si="8">X$3+W38</f>
        <v>43.62</v>
      </c>
      <c r="Y38" t="s">
        <v>906</v>
      </c>
      <c r="AF38" s="2" t="s">
        <v>974</v>
      </c>
      <c r="AG38">
        <v>13.45</v>
      </c>
      <c r="AH38" s="51">
        <f t="shared" si="1"/>
        <v>70.7</v>
      </c>
    </row>
    <row r="39" spans="1:35">
      <c r="A39" t="s">
        <v>975</v>
      </c>
      <c r="B39" s="51">
        <v>9.31</v>
      </c>
      <c r="C39" s="51">
        <f t="shared" si="2"/>
        <v>-0.53999999999999915</v>
      </c>
      <c r="F39" s="2" t="s">
        <v>976</v>
      </c>
      <c r="G39" s="51">
        <v>12.97</v>
      </c>
      <c r="H39" s="51">
        <f t="shared" si="3"/>
        <v>13.72</v>
      </c>
      <c r="Q39" s="2" t="s">
        <v>977</v>
      </c>
      <c r="R39" s="51">
        <v>10.5</v>
      </c>
      <c r="S39" s="51">
        <f t="shared" si="4"/>
        <v>29.77</v>
      </c>
      <c r="T39" t="s">
        <v>978</v>
      </c>
      <c r="AF39" s="2" t="s">
        <v>979</v>
      </c>
      <c r="AG39">
        <v>14.3</v>
      </c>
      <c r="AH39" s="51">
        <f t="shared" si="1"/>
        <v>71.55</v>
      </c>
    </row>
    <row r="40" spans="1:35">
      <c r="A40" t="s">
        <v>980</v>
      </c>
      <c r="B40" s="51">
        <v>9.83</v>
      </c>
      <c r="C40" s="51">
        <f t="shared" si="2"/>
        <v>-1.9999999999999574E-2</v>
      </c>
      <c r="F40" s="2" t="s">
        <v>981</v>
      </c>
      <c r="G40" s="51">
        <v>13.26</v>
      </c>
      <c r="H40" s="51">
        <f t="shared" si="3"/>
        <v>14.01</v>
      </c>
      <c r="Q40" s="2" t="s">
        <v>982</v>
      </c>
      <c r="R40" s="51">
        <v>10.78</v>
      </c>
      <c r="S40" s="51">
        <f t="shared" si="4"/>
        <v>30.049999999999997</v>
      </c>
      <c r="T40" t="s">
        <v>983</v>
      </c>
      <c r="AF40" s="2" t="s">
        <v>984</v>
      </c>
      <c r="AG40">
        <v>15.35</v>
      </c>
      <c r="AH40" s="51">
        <f t="shared" si="1"/>
        <v>72.599999999999994</v>
      </c>
    </row>
    <row r="41" spans="1:35">
      <c r="A41" t="s">
        <v>985</v>
      </c>
      <c r="B41" s="51">
        <v>9.9700000000000006</v>
      </c>
      <c r="C41" s="51">
        <f t="shared" si="2"/>
        <v>0.12000000000000099</v>
      </c>
      <c r="F41" s="2" t="s">
        <v>986</v>
      </c>
      <c r="G41" s="51">
        <v>13.5</v>
      </c>
      <c r="H41" s="51">
        <f t="shared" si="3"/>
        <v>14.25</v>
      </c>
      <c r="I41" t="s">
        <v>914</v>
      </c>
      <c r="Q41" s="2" t="s">
        <v>987</v>
      </c>
      <c r="R41" s="51">
        <v>11.05</v>
      </c>
      <c r="S41" s="51">
        <f t="shared" si="4"/>
        <v>30.32</v>
      </c>
      <c r="AG41">
        <f>11.2+5</f>
        <v>16.2</v>
      </c>
      <c r="AH41" s="51">
        <f t="shared" si="1"/>
        <v>73.45</v>
      </c>
      <c r="AI41" t="s">
        <v>988</v>
      </c>
    </row>
    <row r="42" spans="1:35">
      <c r="A42" t="s">
        <v>989</v>
      </c>
      <c r="B42" s="51">
        <v>10.1</v>
      </c>
      <c r="C42" s="51">
        <f t="shared" si="2"/>
        <v>0.25</v>
      </c>
      <c r="G42" s="51">
        <v>12.45</v>
      </c>
      <c r="H42" s="51">
        <f t="shared" si="3"/>
        <v>13.2</v>
      </c>
      <c r="I42" t="s">
        <v>990</v>
      </c>
      <c r="Q42" s="2" t="s">
        <v>991</v>
      </c>
      <c r="R42" s="51">
        <v>11.67</v>
      </c>
      <c r="S42" s="51">
        <f t="shared" si="4"/>
        <v>30.939999999999998</v>
      </c>
      <c r="AG42">
        <v>0.5</v>
      </c>
      <c r="AH42" s="51">
        <f>AG42+(AC$29-AG$42)</f>
        <v>57.75</v>
      </c>
      <c r="AI42" t="s">
        <v>992</v>
      </c>
    </row>
    <row r="43" spans="1:35">
      <c r="A43" t="s">
        <v>993</v>
      </c>
      <c r="B43" s="51">
        <v>10.27</v>
      </c>
      <c r="C43" s="51">
        <f t="shared" si="2"/>
        <v>0.41999999999999993</v>
      </c>
      <c r="Q43" s="2" t="s">
        <v>994</v>
      </c>
      <c r="R43" s="51">
        <v>12.3</v>
      </c>
      <c r="S43" s="51">
        <f t="shared" si="4"/>
        <v>31.57</v>
      </c>
    </row>
    <row r="44" spans="1:35">
      <c r="A44" t="s">
        <v>995</v>
      </c>
      <c r="B44" s="51">
        <v>10.4</v>
      </c>
      <c r="C44" s="51">
        <f t="shared" si="2"/>
        <v>0.55000000000000071</v>
      </c>
      <c r="G44" s="51">
        <v>14</v>
      </c>
      <c r="H44" s="51">
        <f t="shared" si="3"/>
        <v>14.75</v>
      </c>
      <c r="Q44" s="2" t="s">
        <v>996</v>
      </c>
      <c r="R44" s="51">
        <v>12.35</v>
      </c>
      <c r="S44" s="51">
        <f t="shared" si="4"/>
        <v>31.619999999999997</v>
      </c>
      <c r="T44" t="s">
        <v>997</v>
      </c>
    </row>
    <row r="45" spans="1:35">
      <c r="A45" t="s">
        <v>998</v>
      </c>
      <c r="B45" s="51">
        <v>10.6</v>
      </c>
      <c r="C45" s="51">
        <f t="shared" si="2"/>
        <v>0.75</v>
      </c>
      <c r="R45" s="51">
        <v>5.18</v>
      </c>
      <c r="S45" s="51">
        <f>R45+(M$31-R$45)</f>
        <v>24.45</v>
      </c>
      <c r="T45" t="s">
        <v>932</v>
      </c>
    </row>
    <row r="46" spans="1:35">
      <c r="A46" t="s">
        <v>999</v>
      </c>
      <c r="B46" s="51">
        <v>10.83</v>
      </c>
      <c r="C46" s="51">
        <f t="shared" si="2"/>
        <v>0.98000000000000043</v>
      </c>
      <c r="R46" s="51">
        <v>12</v>
      </c>
      <c r="S46" s="51">
        <f t="shared" si="4"/>
        <v>31.27</v>
      </c>
    </row>
    <row r="47" spans="1:35">
      <c r="A47" t="s">
        <v>1000</v>
      </c>
      <c r="B47" s="51">
        <v>10.95</v>
      </c>
      <c r="C47" s="51">
        <f t="shared" si="2"/>
        <v>1.0999999999999996</v>
      </c>
    </row>
    <row r="48" spans="1:35">
      <c r="A48" t="s">
        <v>1001</v>
      </c>
      <c r="B48" s="51">
        <v>11.19</v>
      </c>
      <c r="C48" s="51">
        <f t="shared" si="2"/>
        <v>1.3399999999999999</v>
      </c>
    </row>
    <row r="49" spans="1:4">
      <c r="A49" t="s">
        <v>1002</v>
      </c>
      <c r="B49" s="51">
        <v>11.38</v>
      </c>
      <c r="C49" s="51">
        <f t="shared" si="2"/>
        <v>1.5300000000000011</v>
      </c>
    </row>
    <row r="50" spans="1:4">
      <c r="A50" t="s">
        <v>1003</v>
      </c>
      <c r="B50" s="51">
        <v>11.46</v>
      </c>
      <c r="C50" s="51">
        <f t="shared" si="2"/>
        <v>1.6100000000000012</v>
      </c>
    </row>
    <row r="51" spans="1:4">
      <c r="A51" t="s">
        <v>1004</v>
      </c>
      <c r="B51" s="51">
        <v>11.65</v>
      </c>
      <c r="C51" s="51">
        <f t="shared" si="2"/>
        <v>1.8000000000000007</v>
      </c>
    </row>
    <row r="52" spans="1:4">
      <c r="A52" t="s">
        <v>1005</v>
      </c>
      <c r="B52" s="51">
        <v>11.84</v>
      </c>
      <c r="C52" s="51">
        <f t="shared" si="2"/>
        <v>1.9900000000000002</v>
      </c>
    </row>
    <row r="53" spans="1:4">
      <c r="A53" s="58"/>
      <c r="B53" s="51">
        <v>11.85</v>
      </c>
      <c r="C53" s="51">
        <f t="shared" si="2"/>
        <v>2</v>
      </c>
      <c r="D53" t="s">
        <v>1006</v>
      </c>
    </row>
    <row r="54" spans="1:4">
      <c r="B54" s="51">
        <v>9.85</v>
      </c>
      <c r="C54" s="51">
        <f t="shared" si="2"/>
        <v>0</v>
      </c>
      <c r="D54" s="116" t="s">
        <v>1007</v>
      </c>
    </row>
    <row r="56" spans="1:4">
      <c r="B56" s="51">
        <v>12</v>
      </c>
      <c r="C56" s="51">
        <f t="shared" si="2"/>
        <v>2.1500000000000004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M169"/>
  <sheetViews>
    <sheetView topLeftCell="A25" zoomScale="75" zoomScaleNormal="75" workbookViewId="0">
      <selection activeCell="X11" sqref="X11"/>
    </sheetView>
  </sheetViews>
  <sheetFormatPr defaultRowHeight="15"/>
  <cols>
    <col min="1" max="1" width="9.140625" style="73"/>
    <col min="2" max="3" width="9.5703125" style="73" customWidth="1"/>
    <col min="4" max="6" width="9.140625" style="73" customWidth="1"/>
    <col min="7" max="7" width="10" style="73" customWidth="1"/>
    <col min="8" max="8" width="6.140625" style="73" customWidth="1"/>
    <col min="9" max="9" width="8.7109375" style="2" customWidth="1"/>
    <col min="10" max="10" width="6" style="73" customWidth="1"/>
    <col min="11" max="11" width="5.140625" style="73" customWidth="1"/>
    <col min="12" max="12" width="7.42578125" style="2" customWidth="1"/>
    <col min="13" max="13" width="5.42578125" style="73" customWidth="1"/>
    <col min="14" max="14" width="5.28515625" style="73" customWidth="1"/>
    <col min="15" max="15" width="7.42578125" style="2" customWidth="1"/>
    <col min="16" max="17" width="5" style="73" customWidth="1"/>
    <col min="18" max="18" width="7.42578125" style="2" customWidth="1"/>
    <col min="19" max="19" width="7.42578125" style="73" customWidth="1"/>
    <col min="20" max="20" width="5.5703125" style="73" customWidth="1"/>
    <col min="21" max="21" width="5.28515625" style="73" customWidth="1"/>
    <col min="22" max="22" width="8.140625" style="73" customWidth="1"/>
    <col min="23" max="24" width="5.140625" style="73" customWidth="1"/>
    <col min="25" max="25" width="22.7109375" style="73" customWidth="1"/>
    <col min="26" max="26" width="9.140625" style="73" customWidth="1"/>
    <col min="27" max="27" width="5.85546875" style="73" customWidth="1"/>
    <col min="28" max="28" width="5.140625" style="73" customWidth="1"/>
    <col min="29" max="31" width="9.140625" style="73" customWidth="1"/>
    <col min="32" max="32" width="6.42578125" style="73" customWidth="1"/>
    <col min="33" max="33" width="5.7109375" style="73" customWidth="1"/>
    <col min="34" max="34" width="9.140625" style="7" customWidth="1"/>
    <col min="35" max="35" width="6.28515625" style="7" customWidth="1"/>
    <col min="36" max="36" width="7.42578125" style="7" customWidth="1"/>
    <col min="37" max="38" width="6.85546875" style="7" customWidth="1"/>
    <col min="39" max="39" width="9.140625" style="7" customWidth="1"/>
    <col min="40" max="43" width="9.140625" style="53" customWidth="1"/>
    <col min="44" max="45" width="9.140625" style="53"/>
    <col min="46" max="46" width="7.28515625" style="53" customWidth="1"/>
    <col min="47" max="65" width="5.7109375" style="53" customWidth="1"/>
  </cols>
  <sheetData>
    <row r="1" spans="1:65">
      <c r="I1" s="2" t="s">
        <v>1008</v>
      </c>
    </row>
    <row r="2" spans="1:65" ht="90">
      <c r="A2" s="73" t="s">
        <v>1009</v>
      </c>
      <c r="B2" s="36" t="s">
        <v>1010</v>
      </c>
      <c r="C2" s="26" t="s">
        <v>1011</v>
      </c>
      <c r="D2" s="36"/>
      <c r="E2" s="160" t="s">
        <v>4</v>
      </c>
      <c r="F2" s="161" t="s">
        <v>1012</v>
      </c>
      <c r="G2" s="26" t="s">
        <v>5</v>
      </c>
      <c r="H2" s="699" t="s">
        <v>1013</v>
      </c>
      <c r="I2" s="700" t="s">
        <v>1014</v>
      </c>
      <c r="J2" s="701"/>
      <c r="K2" s="701"/>
      <c r="L2" s="702" t="s">
        <v>1015</v>
      </c>
      <c r="M2" s="703"/>
      <c r="N2" s="703"/>
      <c r="O2" s="704" t="s">
        <v>1016</v>
      </c>
      <c r="P2" s="704"/>
      <c r="Q2" s="704"/>
      <c r="R2" s="162"/>
      <c r="S2" s="704" t="s">
        <v>1017</v>
      </c>
      <c r="T2" s="704"/>
      <c r="U2" s="163"/>
      <c r="V2" s="164"/>
      <c r="W2" s="163" t="s">
        <v>1018</v>
      </c>
      <c r="X2" s="163"/>
      <c r="Y2" s="137"/>
      <c r="Z2" s="165"/>
      <c r="AA2" s="165" t="s">
        <v>1018</v>
      </c>
      <c r="AB2" s="165"/>
      <c r="AC2" s="36"/>
      <c r="AD2" s="36"/>
      <c r="AE2" s="26" t="s">
        <v>1019</v>
      </c>
      <c r="AF2" s="26"/>
      <c r="AG2" s="26"/>
      <c r="AH2" s="45"/>
      <c r="AI2" s="45"/>
      <c r="AJ2" s="694" t="s">
        <v>1020</v>
      </c>
      <c r="AK2" s="694"/>
      <c r="AL2" s="694"/>
      <c r="AM2" s="694"/>
      <c r="AN2" s="135" t="s">
        <v>1021</v>
      </c>
      <c r="AO2" s="135" t="s">
        <v>1022</v>
      </c>
      <c r="AP2" s="135"/>
      <c r="AQ2" s="135" t="s">
        <v>1023</v>
      </c>
      <c r="AR2" s="135"/>
      <c r="AS2" s="45"/>
      <c r="AT2" s="694"/>
      <c r="AU2" s="694"/>
      <c r="AV2" s="694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</row>
    <row r="3" spans="1:65">
      <c r="B3" s="156"/>
      <c r="C3" s="156"/>
      <c r="D3" s="156"/>
      <c r="E3" s="166" t="s">
        <v>14</v>
      </c>
      <c r="F3" s="166"/>
      <c r="G3" s="156"/>
      <c r="H3" s="699"/>
      <c r="I3" s="167"/>
      <c r="J3" s="168"/>
      <c r="K3" s="168"/>
      <c r="L3" s="169"/>
      <c r="M3" s="170"/>
      <c r="N3" s="170"/>
      <c r="O3" s="171"/>
      <c r="P3" s="172"/>
      <c r="Q3" s="172"/>
      <c r="R3" s="173"/>
      <c r="S3" s="173"/>
      <c r="T3" s="173"/>
      <c r="U3" s="695" t="s">
        <v>1024</v>
      </c>
      <c r="V3" s="695"/>
      <c r="W3" s="695"/>
      <c r="X3" s="695"/>
      <c r="Y3" s="174"/>
      <c r="Z3" s="696" t="s">
        <v>21</v>
      </c>
      <c r="AA3" s="696"/>
      <c r="AB3" s="696"/>
      <c r="AC3" s="156" t="s">
        <v>22</v>
      </c>
      <c r="AD3" s="156" t="s">
        <v>23</v>
      </c>
      <c r="AE3" s="36"/>
      <c r="AF3" s="697" t="s">
        <v>1025</v>
      </c>
      <c r="AG3" s="697"/>
      <c r="AH3" s="137" t="s">
        <v>15</v>
      </c>
      <c r="AI3" s="137"/>
      <c r="AJ3" s="698" t="s">
        <v>1026</v>
      </c>
      <c r="AK3" s="698"/>
      <c r="AL3" s="698" t="s">
        <v>1027</v>
      </c>
      <c r="AM3" s="698"/>
      <c r="AN3" s="136" t="s">
        <v>1028</v>
      </c>
      <c r="AO3" s="175"/>
      <c r="AP3" s="136"/>
      <c r="AQ3" s="45" t="s">
        <v>1029</v>
      </c>
      <c r="AR3" s="136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</row>
    <row r="4" spans="1:65" s="184" customFormat="1" ht="30.75" thickBot="1">
      <c r="A4" s="176"/>
      <c r="B4" s="26" t="s">
        <v>26</v>
      </c>
      <c r="C4" s="26"/>
      <c r="D4" s="26" t="s">
        <v>29</v>
      </c>
      <c r="E4" s="161" t="s">
        <v>30</v>
      </c>
      <c r="F4" s="161"/>
      <c r="G4" s="26" t="s">
        <v>31</v>
      </c>
      <c r="H4" s="699"/>
      <c r="I4" s="177" t="s">
        <v>43</v>
      </c>
      <c r="J4" s="178" t="s">
        <v>36</v>
      </c>
      <c r="K4" s="178" t="s">
        <v>37</v>
      </c>
      <c r="L4" s="179" t="s">
        <v>43</v>
      </c>
      <c r="M4" s="180" t="s">
        <v>36</v>
      </c>
      <c r="N4" s="180" t="s">
        <v>37</v>
      </c>
      <c r="O4" s="181" t="s">
        <v>43</v>
      </c>
      <c r="P4" s="182" t="s">
        <v>36</v>
      </c>
      <c r="Q4" s="182" t="s">
        <v>37</v>
      </c>
      <c r="R4" s="182" t="s">
        <v>43</v>
      </c>
      <c r="S4" s="182" t="s">
        <v>36</v>
      </c>
      <c r="T4" s="182" t="s">
        <v>37</v>
      </c>
      <c r="U4" s="183" t="s">
        <v>41</v>
      </c>
      <c r="V4" s="183" t="s">
        <v>35</v>
      </c>
      <c r="W4" s="183" t="s">
        <v>36</v>
      </c>
      <c r="X4" s="183" t="s">
        <v>37</v>
      </c>
      <c r="Y4" s="45" t="s">
        <v>42</v>
      </c>
      <c r="Z4" s="26" t="s">
        <v>35</v>
      </c>
      <c r="AA4" s="26" t="s">
        <v>36</v>
      </c>
      <c r="AB4" s="26" t="s">
        <v>37</v>
      </c>
      <c r="AC4" s="26" t="s">
        <v>24</v>
      </c>
      <c r="AD4" s="26" t="s">
        <v>24</v>
      </c>
      <c r="AE4" s="26" t="s">
        <v>46</v>
      </c>
      <c r="AF4" s="26"/>
      <c r="AG4" s="26"/>
      <c r="AH4" s="184" t="s">
        <v>1030</v>
      </c>
      <c r="AI4" s="41" t="s">
        <v>34</v>
      </c>
      <c r="AJ4" s="41" t="s">
        <v>1031</v>
      </c>
      <c r="AK4" s="41" t="s">
        <v>44</v>
      </c>
      <c r="AL4" s="41" t="s">
        <v>1031</v>
      </c>
      <c r="AM4" s="41" t="s">
        <v>44</v>
      </c>
      <c r="AN4" s="45" t="s">
        <v>515</v>
      </c>
      <c r="AO4" s="45" t="s">
        <v>36</v>
      </c>
      <c r="AP4" s="45" t="s">
        <v>37</v>
      </c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</row>
    <row r="5" spans="1:65" s="196" customFormat="1" ht="21.75" customHeight="1">
      <c r="A5" s="185" t="s">
        <v>1032</v>
      </c>
      <c r="B5" s="186">
        <v>1.1000000000000001</v>
      </c>
      <c r="C5" s="186">
        <v>74.900000000000006</v>
      </c>
      <c r="D5" s="186">
        <v>0.253</v>
      </c>
      <c r="E5" s="187">
        <v>51.1</v>
      </c>
      <c r="F5" s="188">
        <v>450</v>
      </c>
      <c r="G5" s="186" t="s">
        <v>1033</v>
      </c>
      <c r="H5" s="186"/>
      <c r="I5" s="189"/>
      <c r="J5" s="189"/>
      <c r="K5" s="189"/>
      <c r="L5" s="190"/>
      <c r="M5" s="186"/>
      <c r="N5" s="186"/>
      <c r="O5" s="190" t="s">
        <v>92</v>
      </c>
      <c r="P5" s="186">
        <v>133</v>
      </c>
      <c r="Q5" s="186">
        <v>48</v>
      </c>
      <c r="R5" s="191" t="s">
        <v>122</v>
      </c>
      <c r="S5" s="192">
        <v>140</v>
      </c>
      <c r="T5" s="186">
        <v>-2</v>
      </c>
      <c r="U5" s="186">
        <v>2.2999999999999998</v>
      </c>
      <c r="V5" s="193" t="s">
        <v>111</v>
      </c>
      <c r="W5" s="186">
        <v>68</v>
      </c>
      <c r="X5" s="186">
        <v>22</v>
      </c>
      <c r="Y5" s="186" t="s">
        <v>121</v>
      </c>
      <c r="Z5" s="193" t="s">
        <v>104</v>
      </c>
      <c r="AA5" s="186">
        <v>202</v>
      </c>
      <c r="AB5" s="186">
        <v>78</v>
      </c>
      <c r="AC5" s="186" t="s">
        <v>159</v>
      </c>
      <c r="AD5" s="186" t="s">
        <v>66</v>
      </c>
      <c r="AE5" s="186" t="s">
        <v>67</v>
      </c>
      <c r="AF5" s="194"/>
      <c r="AG5" s="195"/>
      <c r="AH5" s="186">
        <v>258.39999999999998</v>
      </c>
      <c r="AI5" s="186">
        <v>30</v>
      </c>
      <c r="AJ5" s="7">
        <v>58.4</v>
      </c>
      <c r="AK5" s="7">
        <v>13.9</v>
      </c>
      <c r="AL5" s="53">
        <v>329.7</v>
      </c>
      <c r="AM5" s="53">
        <v>69</v>
      </c>
      <c r="AN5" s="186"/>
      <c r="AO5" s="53">
        <v>36.1</v>
      </c>
      <c r="AP5" s="53">
        <v>-8.6999999999999993</v>
      </c>
      <c r="AQ5" s="53">
        <v>77.5</v>
      </c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</row>
    <row r="6" spans="1:65" s="196" customFormat="1">
      <c r="A6" s="185" t="s">
        <v>1032</v>
      </c>
      <c r="B6" s="186">
        <v>1.2</v>
      </c>
      <c r="C6" s="186">
        <v>74.900000000000006</v>
      </c>
      <c r="D6" s="186">
        <v>7.9100000000000004E-2</v>
      </c>
      <c r="E6" s="187">
        <v>53</v>
      </c>
      <c r="F6" s="188"/>
      <c r="G6" s="186" t="s">
        <v>1034</v>
      </c>
      <c r="H6" s="186"/>
      <c r="I6" s="190"/>
      <c r="J6" s="186"/>
      <c r="K6" s="186"/>
      <c r="L6" s="190"/>
      <c r="M6" s="186"/>
      <c r="N6" s="186"/>
      <c r="O6" s="190"/>
      <c r="P6" s="186"/>
      <c r="Q6" s="186"/>
      <c r="R6" s="191" t="s">
        <v>602</v>
      </c>
      <c r="S6" s="192">
        <v>149</v>
      </c>
      <c r="T6" s="186">
        <v>-28</v>
      </c>
      <c r="U6" s="186">
        <v>2</v>
      </c>
      <c r="V6" s="193" t="s">
        <v>244</v>
      </c>
      <c r="W6" s="186">
        <v>18</v>
      </c>
      <c r="X6" s="186">
        <v>32</v>
      </c>
      <c r="Y6" s="186" t="s">
        <v>1035</v>
      </c>
      <c r="Z6" s="193" t="s">
        <v>1036</v>
      </c>
      <c r="AA6" s="186">
        <v>340</v>
      </c>
      <c r="AB6" s="186">
        <v>45</v>
      </c>
      <c r="AC6" s="186" t="s">
        <v>159</v>
      </c>
      <c r="AD6" s="186" t="s">
        <v>87</v>
      </c>
      <c r="AE6" s="186" t="s">
        <v>88</v>
      </c>
      <c r="AF6" s="197"/>
      <c r="AG6" s="198"/>
      <c r="AH6" s="186">
        <v>258.39999999999998</v>
      </c>
      <c r="AI6" s="186">
        <v>30</v>
      </c>
      <c r="AJ6" s="7">
        <v>13.3</v>
      </c>
      <c r="AK6" s="7">
        <v>5.2</v>
      </c>
      <c r="AL6" s="186">
        <v>342</v>
      </c>
      <c r="AM6" s="186">
        <v>15</v>
      </c>
      <c r="AN6" s="186"/>
      <c r="AO6" s="53">
        <v>61.5</v>
      </c>
      <c r="AP6" s="53">
        <v>-34.1</v>
      </c>
      <c r="AQ6" s="53">
        <v>72.2</v>
      </c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</row>
    <row r="7" spans="1:65">
      <c r="A7" s="53" t="s">
        <v>1037</v>
      </c>
      <c r="B7" s="53">
        <v>2.1</v>
      </c>
      <c r="C7" s="186">
        <v>79.2</v>
      </c>
      <c r="D7" s="53">
        <v>6.5000000000000002E-2</v>
      </c>
      <c r="E7" s="53">
        <v>12.9</v>
      </c>
      <c r="F7" s="53">
        <v>450</v>
      </c>
      <c r="G7" s="53" t="s">
        <v>1038</v>
      </c>
      <c r="H7" s="53"/>
      <c r="I7" s="71"/>
      <c r="J7" s="53"/>
      <c r="K7" s="53"/>
      <c r="L7" s="71"/>
      <c r="M7" s="53"/>
      <c r="N7" s="53"/>
      <c r="O7" s="71"/>
      <c r="P7" s="53"/>
      <c r="Q7" s="53"/>
      <c r="R7" s="199"/>
      <c r="S7" s="200"/>
      <c r="T7" s="53"/>
      <c r="U7" s="53"/>
      <c r="V7" s="53"/>
      <c r="W7" s="53"/>
      <c r="X7" s="53"/>
      <c r="Y7" s="53" t="s">
        <v>1039</v>
      </c>
      <c r="Z7" s="53"/>
      <c r="AA7" s="53"/>
      <c r="AB7" s="53"/>
      <c r="AC7" s="53" t="s">
        <v>299</v>
      </c>
      <c r="AD7" s="53"/>
      <c r="AE7" s="53" t="s">
        <v>181</v>
      </c>
      <c r="AF7" s="201"/>
      <c r="AG7" s="202"/>
      <c r="AH7" s="186">
        <v>297.39999999999998</v>
      </c>
      <c r="AI7" s="186">
        <v>49</v>
      </c>
      <c r="AM7" s="7" t="s">
        <v>69</v>
      </c>
    </row>
    <row r="8" spans="1:65">
      <c r="A8" s="53" t="s">
        <v>1037</v>
      </c>
      <c r="B8" s="53">
        <v>3.1</v>
      </c>
      <c r="C8" s="186">
        <v>82.5</v>
      </c>
      <c r="D8" s="53">
        <v>0.129</v>
      </c>
      <c r="E8" s="53">
        <v>13.1</v>
      </c>
      <c r="F8" s="53">
        <v>300</v>
      </c>
      <c r="G8" s="53" t="s">
        <v>1040</v>
      </c>
      <c r="H8" s="53"/>
      <c r="I8" s="71"/>
      <c r="J8" s="53"/>
      <c r="K8" s="53"/>
      <c r="L8" s="71"/>
      <c r="M8" s="53"/>
      <c r="N8" s="53"/>
      <c r="O8" s="71"/>
      <c r="P8" s="53"/>
      <c r="Q8" s="53"/>
      <c r="R8" s="203" t="s">
        <v>313</v>
      </c>
      <c r="S8" s="200">
        <v>129</v>
      </c>
      <c r="T8" s="53">
        <v>30</v>
      </c>
      <c r="U8" s="53">
        <v>2.5</v>
      </c>
      <c r="V8" s="53"/>
      <c r="W8" s="53"/>
      <c r="X8" s="53"/>
      <c r="Y8" s="53" t="s">
        <v>1041</v>
      </c>
      <c r="Z8" s="53"/>
      <c r="AA8" s="53"/>
      <c r="AB8" s="53"/>
      <c r="AC8" s="53" t="s">
        <v>412</v>
      </c>
      <c r="AD8" s="53"/>
      <c r="AE8" s="53" t="s">
        <v>181</v>
      </c>
      <c r="AF8" s="201"/>
      <c r="AG8" s="202"/>
      <c r="AH8" s="186">
        <v>275.39999999999998</v>
      </c>
      <c r="AI8" s="186">
        <v>55</v>
      </c>
      <c r="AM8" s="7" t="s">
        <v>69</v>
      </c>
    </row>
    <row r="9" spans="1:65" s="58" customFormat="1">
      <c r="A9" s="53" t="s">
        <v>1037</v>
      </c>
      <c r="B9" s="53">
        <v>4.0999999999999996</v>
      </c>
      <c r="C9" s="186">
        <v>94.9</v>
      </c>
      <c r="D9" s="53">
        <v>0.191</v>
      </c>
      <c r="E9" s="53">
        <v>47.6</v>
      </c>
      <c r="F9" s="53">
        <v>550</v>
      </c>
      <c r="G9" s="53" t="s">
        <v>1042</v>
      </c>
      <c r="H9" s="53" t="s">
        <v>137</v>
      </c>
      <c r="I9" s="71" t="s">
        <v>92</v>
      </c>
      <c r="J9" s="53">
        <v>342</v>
      </c>
      <c r="K9" s="53">
        <v>71</v>
      </c>
      <c r="L9" s="7"/>
      <c r="M9" s="7"/>
      <c r="N9" s="7"/>
      <c r="O9" s="71"/>
      <c r="P9" s="7"/>
      <c r="Q9" s="7"/>
      <c r="R9" s="199" t="s">
        <v>1043</v>
      </c>
      <c r="S9" s="200">
        <v>92</v>
      </c>
      <c r="T9" s="200">
        <v>-13</v>
      </c>
      <c r="U9" s="53">
        <v>2.5</v>
      </c>
      <c r="V9" s="203" t="s">
        <v>158</v>
      </c>
      <c r="W9" s="53">
        <v>12</v>
      </c>
      <c r="X9" s="53">
        <v>51</v>
      </c>
      <c r="Y9" s="53" t="s">
        <v>1044</v>
      </c>
      <c r="Z9" s="53" t="s">
        <v>441</v>
      </c>
      <c r="AA9" s="53">
        <v>337</v>
      </c>
      <c r="AB9" s="53">
        <v>-50</v>
      </c>
      <c r="AC9" s="53" t="s">
        <v>105</v>
      </c>
      <c r="AD9" s="53" t="s">
        <v>87</v>
      </c>
      <c r="AE9" s="53" t="s">
        <v>67</v>
      </c>
      <c r="AF9" s="59"/>
      <c r="AG9" s="69"/>
      <c r="AH9" s="186">
        <v>277.39999999999998</v>
      </c>
      <c r="AI9" s="186">
        <v>37</v>
      </c>
      <c r="AJ9" s="7">
        <v>10.4</v>
      </c>
      <c r="AK9" s="7">
        <v>14.1</v>
      </c>
      <c r="AL9" s="7">
        <v>274.2</v>
      </c>
      <c r="AM9" s="7">
        <v>-71</v>
      </c>
      <c r="AN9" s="53"/>
      <c r="AO9" s="53">
        <v>47.3</v>
      </c>
      <c r="AP9" s="53">
        <v>-13.2</v>
      </c>
      <c r="AQ9" s="53">
        <v>81.3</v>
      </c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</row>
    <row r="10" spans="1:65" s="58" customFormat="1">
      <c r="A10" s="53" t="s">
        <v>1037</v>
      </c>
      <c r="B10" s="53">
        <v>4.2</v>
      </c>
      <c r="C10" s="186">
        <v>94.9</v>
      </c>
      <c r="D10" s="53">
        <v>0.21099999999999999</v>
      </c>
      <c r="E10" s="53">
        <v>51.9</v>
      </c>
      <c r="F10" s="53"/>
      <c r="G10" s="53" t="s">
        <v>1045</v>
      </c>
      <c r="H10" s="53"/>
      <c r="I10" s="71"/>
      <c r="J10" s="53"/>
      <c r="K10" s="53"/>
      <c r="L10" s="71" t="s">
        <v>92</v>
      </c>
      <c r="M10" s="53">
        <v>211</v>
      </c>
      <c r="N10" s="53">
        <v>47</v>
      </c>
      <c r="O10" s="71"/>
      <c r="P10" s="53"/>
      <c r="Q10" s="53"/>
      <c r="R10" s="199" t="s">
        <v>122</v>
      </c>
      <c r="S10" s="200">
        <v>141</v>
      </c>
      <c r="T10" s="200">
        <v>39</v>
      </c>
      <c r="U10" s="200"/>
      <c r="V10" s="53" t="s">
        <v>1046</v>
      </c>
      <c r="W10" s="53">
        <v>66</v>
      </c>
      <c r="X10" s="53">
        <v>1</v>
      </c>
      <c r="Y10" s="53" t="s">
        <v>1047</v>
      </c>
      <c r="Z10" s="53" t="s">
        <v>1048</v>
      </c>
      <c r="AA10" s="53">
        <v>342</v>
      </c>
      <c r="AB10" s="53">
        <v>35</v>
      </c>
      <c r="AC10" s="53" t="s">
        <v>113</v>
      </c>
      <c r="AD10" s="53" t="s">
        <v>399</v>
      </c>
      <c r="AE10" s="53" t="s">
        <v>67</v>
      </c>
      <c r="AF10" s="59"/>
      <c r="AG10" s="69"/>
      <c r="AH10" s="186">
        <v>277.39999999999998</v>
      </c>
      <c r="AI10" s="186">
        <v>37</v>
      </c>
      <c r="AJ10" s="7">
        <v>70.8</v>
      </c>
      <c r="AK10" s="7">
        <v>-17.399999999999999</v>
      </c>
      <c r="AL10" s="186">
        <v>346.8</v>
      </c>
      <c r="AM10" s="186">
        <v>0.7</v>
      </c>
      <c r="AN10" s="53">
        <v>62.6</v>
      </c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</row>
    <row r="11" spans="1:65" s="58" customFormat="1">
      <c r="A11" s="53" t="s">
        <v>1037</v>
      </c>
      <c r="B11" s="53">
        <v>5.0999999999999996</v>
      </c>
      <c r="C11" s="186">
        <v>89.5</v>
      </c>
      <c r="D11" s="53">
        <v>9.8000000000000004E-2</v>
      </c>
      <c r="E11" s="53">
        <v>17.5</v>
      </c>
      <c r="F11" s="53">
        <v>450</v>
      </c>
      <c r="G11" s="53" t="s">
        <v>1049</v>
      </c>
      <c r="H11" s="53"/>
      <c r="I11" s="71"/>
      <c r="J11" s="53"/>
      <c r="K11" s="53"/>
      <c r="L11" s="71" t="s">
        <v>340</v>
      </c>
      <c r="M11" s="53">
        <v>163</v>
      </c>
      <c r="N11" s="53">
        <v>-6</v>
      </c>
      <c r="O11" s="71"/>
      <c r="P11" s="53"/>
      <c r="Q11" s="53"/>
      <c r="R11" s="199"/>
      <c r="S11" s="200"/>
      <c r="T11" s="53"/>
      <c r="U11" s="200">
        <v>4</v>
      </c>
      <c r="V11" s="53"/>
      <c r="W11" s="53">
        <v>342</v>
      </c>
      <c r="X11" s="53">
        <v>17</v>
      </c>
      <c r="Y11" s="53"/>
      <c r="Z11" s="204" t="s">
        <v>341</v>
      </c>
      <c r="AA11" s="53">
        <v>306</v>
      </c>
      <c r="AB11" s="53">
        <v>-70</v>
      </c>
      <c r="AC11" s="53" t="s">
        <v>105</v>
      </c>
      <c r="AD11" s="53" t="s">
        <v>66</v>
      </c>
      <c r="AE11" s="53" t="s">
        <v>88</v>
      </c>
      <c r="AF11" s="59"/>
      <c r="AG11" s="202"/>
      <c r="AH11" s="186">
        <v>275.39999999999998</v>
      </c>
      <c r="AI11" s="186">
        <v>55</v>
      </c>
      <c r="AJ11" s="7">
        <v>338.3</v>
      </c>
      <c r="AK11" s="7">
        <v>-33.5</v>
      </c>
      <c r="AL11" s="53">
        <v>209.1</v>
      </c>
      <c r="AM11" s="53">
        <v>-43</v>
      </c>
      <c r="AN11" s="53"/>
      <c r="AO11" s="53">
        <v>48.3</v>
      </c>
      <c r="AP11" s="53">
        <v>-45.4</v>
      </c>
      <c r="AQ11" s="53">
        <v>76.900000000000006</v>
      </c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</row>
    <row r="12" spans="1:65" s="58" customFormat="1">
      <c r="A12" s="53" t="s">
        <v>1037</v>
      </c>
      <c r="B12" s="53">
        <v>5.2</v>
      </c>
      <c r="C12" s="186">
        <v>89.5</v>
      </c>
      <c r="D12" s="53">
        <v>2.5000000000000001E-2</v>
      </c>
      <c r="E12" s="53">
        <v>15.8</v>
      </c>
      <c r="F12" s="53">
        <v>300</v>
      </c>
      <c r="G12" s="53" t="s">
        <v>1050</v>
      </c>
      <c r="H12" s="53"/>
      <c r="I12" s="71"/>
      <c r="J12" s="53"/>
      <c r="K12" s="53"/>
      <c r="L12" s="71"/>
      <c r="M12" s="53"/>
      <c r="N12" s="53"/>
      <c r="O12" s="71" t="s">
        <v>85</v>
      </c>
      <c r="P12" s="53">
        <v>261</v>
      </c>
      <c r="Q12" s="53">
        <v>14</v>
      </c>
      <c r="R12" s="199" t="s">
        <v>478</v>
      </c>
      <c r="S12" s="200">
        <v>101</v>
      </c>
      <c r="T12" s="53">
        <v>-22</v>
      </c>
      <c r="U12" s="200">
        <v>1.7</v>
      </c>
      <c r="V12" s="53"/>
      <c r="W12" s="53"/>
      <c r="X12" s="53"/>
      <c r="Y12" s="53" t="s">
        <v>1051</v>
      </c>
      <c r="Z12" s="53"/>
      <c r="AA12" s="53"/>
      <c r="AB12" s="53"/>
      <c r="AC12" s="53" t="s">
        <v>412</v>
      </c>
      <c r="AD12" s="53"/>
      <c r="AE12" s="53" t="s">
        <v>181</v>
      </c>
      <c r="AF12" s="59"/>
      <c r="AG12" s="202"/>
      <c r="AH12" s="186">
        <v>275.39999999999998</v>
      </c>
      <c r="AI12" s="186">
        <v>55</v>
      </c>
      <c r="AJ12" s="7"/>
      <c r="AK12" s="7"/>
      <c r="AL12" s="7"/>
      <c r="AM12" s="7"/>
      <c r="AN12" s="53"/>
      <c r="AO12" s="7"/>
      <c r="AP12" s="7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</row>
    <row r="13" spans="1:65">
      <c r="A13" s="53" t="s">
        <v>1037</v>
      </c>
      <c r="B13" s="53">
        <v>6.1</v>
      </c>
      <c r="C13" s="186">
        <v>101.1</v>
      </c>
      <c r="D13" s="53">
        <v>0.11600000000000001</v>
      </c>
      <c r="E13" s="67">
        <v>42</v>
      </c>
      <c r="F13" s="53"/>
      <c r="G13" s="53" t="s">
        <v>1052</v>
      </c>
      <c r="H13" s="53" t="s">
        <v>137</v>
      </c>
      <c r="I13" s="71" t="s">
        <v>92</v>
      </c>
      <c r="J13" s="53">
        <v>355</v>
      </c>
      <c r="K13" s="53">
        <v>58</v>
      </c>
      <c r="L13" s="199" t="s">
        <v>1053</v>
      </c>
      <c r="M13" s="200">
        <v>154</v>
      </c>
      <c r="N13" s="53">
        <v>-37</v>
      </c>
      <c r="O13" s="71"/>
      <c r="P13" s="53"/>
      <c r="Q13" s="53"/>
      <c r="U13" s="200">
        <v>3</v>
      </c>
      <c r="V13" s="204" t="s">
        <v>423</v>
      </c>
      <c r="W13" s="200">
        <v>35</v>
      </c>
      <c r="X13" s="200">
        <v>29</v>
      </c>
      <c r="Y13" s="53" t="s">
        <v>1054</v>
      </c>
      <c r="Z13" s="204" t="s">
        <v>104</v>
      </c>
      <c r="AA13" s="53">
        <v>172</v>
      </c>
      <c r="AB13" s="53">
        <v>50</v>
      </c>
      <c r="AC13" s="53" t="s">
        <v>113</v>
      </c>
      <c r="AD13" s="53" t="s">
        <v>66</v>
      </c>
      <c r="AE13" s="53" t="s">
        <v>67</v>
      </c>
      <c r="AF13" s="59"/>
      <c r="AG13" s="202"/>
      <c r="AH13" s="186">
        <v>277.39999999999998</v>
      </c>
      <c r="AI13" s="186">
        <v>37</v>
      </c>
      <c r="AJ13" s="7">
        <v>31.4</v>
      </c>
      <c r="AK13" s="7">
        <v>-4.5</v>
      </c>
      <c r="AL13" s="53">
        <v>108.6</v>
      </c>
      <c r="AM13" s="53">
        <v>80</v>
      </c>
      <c r="AN13" s="53">
        <v>72.900000000000006</v>
      </c>
    </row>
    <row r="14" spans="1:65">
      <c r="A14" s="53" t="s">
        <v>1037</v>
      </c>
      <c r="B14" s="53">
        <v>7.1</v>
      </c>
      <c r="C14" s="186">
        <v>105.9</v>
      </c>
      <c r="D14" s="53">
        <v>0.252</v>
      </c>
      <c r="E14" s="53">
        <v>34.9</v>
      </c>
      <c r="F14" s="53">
        <v>530</v>
      </c>
      <c r="G14" s="53" t="s">
        <v>1055</v>
      </c>
      <c r="H14" s="53"/>
      <c r="I14" s="71"/>
      <c r="J14" s="53"/>
      <c r="K14" s="53"/>
      <c r="L14" s="71"/>
      <c r="M14" s="53"/>
      <c r="N14" s="53"/>
      <c r="O14" s="71"/>
      <c r="P14" s="53"/>
      <c r="Q14" s="53"/>
      <c r="R14" s="199" t="s">
        <v>359</v>
      </c>
      <c r="S14" s="200">
        <v>145</v>
      </c>
      <c r="T14" s="53">
        <v>-14</v>
      </c>
      <c r="U14" s="200">
        <v>2.5</v>
      </c>
      <c r="V14" s="204" t="s">
        <v>222</v>
      </c>
      <c r="W14" s="200">
        <v>54</v>
      </c>
      <c r="X14" s="200">
        <v>2</v>
      </c>
      <c r="Y14" s="53"/>
      <c r="Z14" s="204" t="s">
        <v>104</v>
      </c>
      <c r="AA14" s="53">
        <v>212</v>
      </c>
      <c r="AB14" s="53">
        <v>85</v>
      </c>
      <c r="AC14" s="53" t="s">
        <v>113</v>
      </c>
      <c r="AD14" s="53" t="s">
        <v>66</v>
      </c>
      <c r="AE14" s="53" t="s">
        <v>79</v>
      </c>
      <c r="AF14" s="59"/>
      <c r="AG14" s="202"/>
      <c r="AH14" s="186">
        <v>283.39999999999998</v>
      </c>
      <c r="AI14" s="186">
        <v>55</v>
      </c>
      <c r="AJ14" s="7">
        <v>67.900000000000006</v>
      </c>
      <c r="AK14" s="7">
        <v>-37</v>
      </c>
      <c r="AL14" s="53">
        <v>11.3</v>
      </c>
      <c r="AM14" s="53">
        <v>39.700000000000003</v>
      </c>
      <c r="AN14" s="53">
        <v>65.900000000000006</v>
      </c>
    </row>
    <row r="15" spans="1:65">
      <c r="A15" s="53" t="s">
        <v>1037</v>
      </c>
      <c r="B15" s="53">
        <v>8.1</v>
      </c>
      <c r="C15" s="186">
        <v>109.6</v>
      </c>
      <c r="D15" s="141">
        <v>1.1000000000000001</v>
      </c>
      <c r="E15" s="53">
        <v>12.5</v>
      </c>
      <c r="F15" s="53">
        <v>450</v>
      </c>
      <c r="G15" s="53" t="s">
        <v>1056</v>
      </c>
      <c r="H15" s="53"/>
      <c r="I15" s="71"/>
      <c r="J15" s="53"/>
      <c r="K15" s="53"/>
      <c r="L15" s="71"/>
      <c r="M15" s="53"/>
      <c r="N15" s="53"/>
      <c r="O15" s="71"/>
      <c r="P15" s="53"/>
      <c r="Q15" s="53"/>
      <c r="R15" s="199"/>
      <c r="S15" s="200"/>
      <c r="T15" s="53"/>
      <c r="U15" s="53"/>
      <c r="V15" s="53"/>
      <c r="W15" s="53"/>
      <c r="X15" s="53"/>
      <c r="Y15" s="53" t="s">
        <v>1039</v>
      </c>
      <c r="Z15" s="53"/>
      <c r="AA15" s="53"/>
      <c r="AB15" s="53"/>
      <c r="AC15" s="53" t="s">
        <v>299</v>
      </c>
      <c r="AD15" s="53"/>
      <c r="AE15" s="53" t="s">
        <v>181</v>
      </c>
      <c r="AF15" s="201"/>
      <c r="AG15" s="202"/>
      <c r="AH15" s="186">
        <v>283.39999999999998</v>
      </c>
      <c r="AI15" s="186">
        <v>55</v>
      </c>
      <c r="AM15" s="7" t="s">
        <v>69</v>
      </c>
    </row>
    <row r="16" spans="1:65">
      <c r="A16" s="53" t="s">
        <v>1057</v>
      </c>
      <c r="B16" s="53">
        <v>9.1</v>
      </c>
      <c r="C16" s="186">
        <v>115</v>
      </c>
      <c r="D16" s="53">
        <v>0.27200000000000002</v>
      </c>
      <c r="E16" s="53">
        <v>16.600000000000001</v>
      </c>
      <c r="F16" s="53">
        <v>530</v>
      </c>
      <c r="G16" s="53" t="s">
        <v>1058</v>
      </c>
      <c r="H16" s="53"/>
      <c r="I16" s="71" t="s">
        <v>635</v>
      </c>
      <c r="J16" s="53">
        <v>203</v>
      </c>
      <c r="K16" s="53">
        <v>81</v>
      </c>
      <c r="L16" s="71"/>
      <c r="M16" s="53"/>
      <c r="N16" s="53"/>
      <c r="O16" s="71"/>
      <c r="P16" s="53"/>
      <c r="Q16" s="53"/>
      <c r="R16" s="199"/>
      <c r="S16" s="200"/>
      <c r="T16" s="53"/>
      <c r="U16" s="53"/>
      <c r="V16" s="53"/>
      <c r="W16" s="53"/>
      <c r="X16" s="53"/>
      <c r="Y16" s="53" t="s">
        <v>1059</v>
      </c>
      <c r="Z16" s="53"/>
      <c r="AA16" s="53"/>
      <c r="AB16" s="53"/>
      <c r="AC16" s="53" t="s">
        <v>190</v>
      </c>
      <c r="AD16" s="53"/>
      <c r="AE16" s="53" t="s">
        <v>181</v>
      </c>
      <c r="AF16" s="201"/>
      <c r="AG16" s="202"/>
      <c r="AH16" s="186">
        <v>259.39999999999998</v>
      </c>
      <c r="AI16" s="186">
        <v>57</v>
      </c>
      <c r="AM16" s="7" t="s">
        <v>69</v>
      </c>
    </row>
    <row r="17" spans="1:65" s="206" customFormat="1">
      <c r="A17" s="53" t="s">
        <v>1057</v>
      </c>
      <c r="B17" s="53">
        <v>10.1</v>
      </c>
      <c r="C17" s="205">
        <v>119.5</v>
      </c>
      <c r="D17" s="141">
        <v>0.49</v>
      </c>
      <c r="E17" s="53">
        <v>28.6</v>
      </c>
      <c r="F17" s="53"/>
      <c r="G17" s="53">
        <v>610</v>
      </c>
      <c r="H17" s="53" t="s">
        <v>137</v>
      </c>
      <c r="I17" s="71"/>
      <c r="J17" s="53"/>
      <c r="K17" s="53"/>
      <c r="L17" s="71"/>
      <c r="M17" s="53"/>
      <c r="N17" s="53"/>
      <c r="O17" s="71"/>
      <c r="P17" s="53"/>
      <c r="Q17" s="53"/>
      <c r="R17" s="199" t="s">
        <v>1060</v>
      </c>
      <c r="S17" s="200">
        <v>90</v>
      </c>
      <c r="T17" s="53">
        <v>43</v>
      </c>
      <c r="U17" s="53">
        <v>3</v>
      </c>
      <c r="V17" s="53" t="s">
        <v>1061</v>
      </c>
      <c r="W17" s="53">
        <v>45</v>
      </c>
      <c r="X17" s="53">
        <v>-5</v>
      </c>
      <c r="Y17" s="204" t="s">
        <v>1062</v>
      </c>
      <c r="Z17" s="7"/>
      <c r="AA17" s="53">
        <v>313</v>
      </c>
      <c r="AB17" s="53">
        <v>-3</v>
      </c>
      <c r="AC17" s="53" t="s">
        <v>113</v>
      </c>
      <c r="AD17" s="53" t="s">
        <v>66</v>
      </c>
      <c r="AE17" s="53" t="s">
        <v>67</v>
      </c>
      <c r="AF17" s="59"/>
      <c r="AG17" s="202"/>
      <c r="AH17" s="186">
        <v>259.39999999999998</v>
      </c>
      <c r="AI17" s="186">
        <v>57</v>
      </c>
      <c r="AJ17" s="7">
        <v>63.5</v>
      </c>
      <c r="AK17" s="7">
        <v>-31.3</v>
      </c>
      <c r="AL17" s="53">
        <v>293</v>
      </c>
      <c r="AM17" s="53">
        <v>-44.6</v>
      </c>
      <c r="AN17" s="53">
        <v>70.599999999999994</v>
      </c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</row>
    <row r="18" spans="1:65" s="206" customFormat="1">
      <c r="A18" s="53" t="s">
        <v>1057</v>
      </c>
      <c r="B18" s="53" t="s">
        <v>1063</v>
      </c>
      <c r="C18" s="205">
        <v>119.5</v>
      </c>
      <c r="D18" s="141">
        <v>0.53500000000000003</v>
      </c>
      <c r="E18" s="53"/>
      <c r="F18" s="53">
        <v>620</v>
      </c>
      <c r="G18" s="53">
        <v>640</v>
      </c>
      <c r="H18" s="53"/>
      <c r="I18" s="71" t="s">
        <v>1064</v>
      </c>
      <c r="J18" s="53">
        <v>359</v>
      </c>
      <c r="K18" s="53">
        <v>66</v>
      </c>
      <c r="L18" s="71"/>
      <c r="M18" s="53"/>
      <c r="N18" s="53"/>
      <c r="O18" s="71" t="s">
        <v>1065</v>
      </c>
      <c r="P18" s="53">
        <v>127</v>
      </c>
      <c r="Q18" s="53">
        <v>51</v>
      </c>
      <c r="R18" s="203" t="s">
        <v>1066</v>
      </c>
      <c r="S18" s="200">
        <v>352</v>
      </c>
      <c r="T18" s="53">
        <v>39</v>
      </c>
      <c r="U18" s="53">
        <v>1.2</v>
      </c>
      <c r="V18" s="53"/>
      <c r="W18" s="53"/>
      <c r="X18" s="53"/>
      <c r="Y18" s="53"/>
      <c r="Z18" s="53" t="s">
        <v>1067</v>
      </c>
      <c r="AA18" s="53">
        <v>247</v>
      </c>
      <c r="AB18" s="53">
        <v>14</v>
      </c>
      <c r="AC18" s="53" t="s">
        <v>412</v>
      </c>
      <c r="AD18" s="53"/>
      <c r="AE18" s="53" t="s">
        <v>181</v>
      </c>
      <c r="AF18" s="59"/>
      <c r="AG18" s="202"/>
      <c r="AH18" s="186">
        <v>259.39999999999998</v>
      </c>
      <c r="AI18" s="186">
        <v>57</v>
      </c>
      <c r="AJ18" s="7"/>
      <c r="AK18" s="7"/>
      <c r="AL18" s="53"/>
      <c r="AM18" s="53"/>
      <c r="AN18" s="53"/>
      <c r="AO18" s="7"/>
      <c r="AP18" s="7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</row>
    <row r="19" spans="1:65" s="206" customFormat="1">
      <c r="A19" s="53" t="s">
        <v>1057</v>
      </c>
      <c r="B19" s="53">
        <v>11.1</v>
      </c>
      <c r="C19" s="205">
        <v>123.5</v>
      </c>
      <c r="D19" s="53">
        <v>0.129</v>
      </c>
      <c r="E19" s="53">
        <v>37.5</v>
      </c>
      <c r="F19" s="53">
        <v>490</v>
      </c>
      <c r="G19" s="53" t="s">
        <v>1068</v>
      </c>
      <c r="H19" s="53"/>
      <c r="I19" s="7"/>
      <c r="J19" s="7"/>
      <c r="K19" s="7"/>
      <c r="L19" s="71" t="s">
        <v>340</v>
      </c>
      <c r="M19" s="53">
        <v>155</v>
      </c>
      <c r="N19" s="53">
        <v>48</v>
      </c>
      <c r="O19" s="71"/>
      <c r="P19" s="53"/>
      <c r="Q19" s="53"/>
      <c r="R19" s="203" t="s">
        <v>180</v>
      </c>
      <c r="S19" s="200">
        <v>87</v>
      </c>
      <c r="T19" s="53">
        <v>0</v>
      </c>
      <c r="U19" s="53">
        <v>2.5</v>
      </c>
      <c r="V19" s="53"/>
      <c r="W19" s="53"/>
      <c r="X19" s="53"/>
      <c r="Y19" s="53"/>
      <c r="Z19" s="53"/>
      <c r="AA19" s="53"/>
      <c r="AB19" s="53"/>
      <c r="AC19" s="53" t="s">
        <v>412</v>
      </c>
      <c r="AD19" s="53"/>
      <c r="AE19" s="53" t="s">
        <v>181</v>
      </c>
      <c r="AF19" s="59"/>
      <c r="AG19" s="202"/>
      <c r="AH19" s="186">
        <v>259.39999999999998</v>
      </c>
      <c r="AI19" s="186">
        <v>57</v>
      </c>
      <c r="AJ19" s="7"/>
      <c r="AK19" s="7"/>
      <c r="AL19" s="7"/>
      <c r="AM19" s="7" t="s">
        <v>69</v>
      </c>
      <c r="AN19" s="53"/>
      <c r="AO19" s="7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</row>
    <row r="20" spans="1:65" s="206" customFormat="1">
      <c r="A20" s="53" t="s">
        <v>1057</v>
      </c>
      <c r="B20" s="53" t="s">
        <v>1069</v>
      </c>
      <c r="C20" s="205">
        <v>123.5</v>
      </c>
      <c r="D20" s="53">
        <v>0.13800000000000001</v>
      </c>
      <c r="E20" s="53"/>
      <c r="F20" s="53">
        <v>475</v>
      </c>
      <c r="G20" s="53">
        <v>525</v>
      </c>
      <c r="H20" s="53"/>
      <c r="I20" s="71" t="s">
        <v>1070</v>
      </c>
      <c r="J20" s="53">
        <v>27</v>
      </c>
      <c r="K20" s="53">
        <v>45</v>
      </c>
      <c r="L20" s="71"/>
      <c r="M20" s="53"/>
      <c r="N20" s="53"/>
      <c r="O20" s="71"/>
      <c r="P20" s="53"/>
      <c r="Q20" s="53"/>
      <c r="R20" s="199" t="s">
        <v>1071</v>
      </c>
      <c r="S20" s="200">
        <v>115</v>
      </c>
      <c r="T20" s="53">
        <v>42</v>
      </c>
      <c r="U20" s="53">
        <v>1.2</v>
      </c>
      <c r="V20" s="53" t="s">
        <v>1072</v>
      </c>
      <c r="W20" s="53">
        <v>40</v>
      </c>
      <c r="X20" s="53">
        <v>46</v>
      </c>
      <c r="Y20" s="53" t="s">
        <v>1073</v>
      </c>
      <c r="Z20" s="53" t="s">
        <v>1074</v>
      </c>
      <c r="AA20" s="53">
        <v>278</v>
      </c>
      <c r="AB20" s="53">
        <v>-51</v>
      </c>
      <c r="AC20" s="53" t="s">
        <v>159</v>
      </c>
      <c r="AD20" s="53" t="s">
        <v>87</v>
      </c>
      <c r="AE20" s="53" t="s">
        <v>67</v>
      </c>
      <c r="AF20" s="59"/>
      <c r="AG20" s="202"/>
      <c r="AH20" s="186">
        <v>259.39999999999998</v>
      </c>
      <c r="AI20" s="186">
        <v>57</v>
      </c>
      <c r="AJ20" s="53">
        <v>21.9</v>
      </c>
      <c r="AK20" s="53">
        <v>1.3</v>
      </c>
      <c r="AL20" s="53">
        <v>217.1</v>
      </c>
      <c r="AM20" s="53">
        <v>-36.299999999999997</v>
      </c>
      <c r="AN20" s="53"/>
      <c r="AO20" s="53">
        <v>47.5</v>
      </c>
      <c r="AP20" s="53">
        <v>-53.2</v>
      </c>
      <c r="AQ20" s="53">
        <v>70.5</v>
      </c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</row>
    <row r="21" spans="1:65" s="206" customFormat="1">
      <c r="A21" s="53" t="s">
        <v>1057</v>
      </c>
      <c r="B21" s="53">
        <v>12.1</v>
      </c>
      <c r="C21" s="205">
        <v>128.5</v>
      </c>
      <c r="D21" s="141">
        <v>0.14699999999999999</v>
      </c>
      <c r="E21" s="53">
        <v>27.5</v>
      </c>
      <c r="F21" s="53">
        <v>400</v>
      </c>
      <c r="G21" s="53" t="s">
        <v>1075</v>
      </c>
      <c r="H21" s="53" t="s">
        <v>137</v>
      </c>
      <c r="I21" s="71" t="s">
        <v>85</v>
      </c>
      <c r="J21" s="53">
        <v>30</v>
      </c>
      <c r="K21" s="53">
        <v>65</v>
      </c>
      <c r="L21" s="71"/>
      <c r="M21" s="53"/>
      <c r="N21" s="53"/>
      <c r="O21" s="71"/>
      <c r="P21" s="53"/>
      <c r="Q21" s="53"/>
      <c r="R21" s="199"/>
      <c r="S21" s="200"/>
      <c r="T21" s="53"/>
      <c r="U21" s="53"/>
      <c r="V21" s="204" t="s">
        <v>104</v>
      </c>
      <c r="W21" s="53">
        <v>195</v>
      </c>
      <c r="X21" s="53">
        <v>-11</v>
      </c>
      <c r="Y21" s="53" t="s">
        <v>193</v>
      </c>
      <c r="Z21" s="53" t="s">
        <v>279</v>
      </c>
      <c r="AA21" s="53">
        <v>136</v>
      </c>
      <c r="AB21" s="53">
        <v>8</v>
      </c>
      <c r="AC21" s="53" t="s">
        <v>113</v>
      </c>
      <c r="AD21" s="53" t="s">
        <v>87</v>
      </c>
      <c r="AE21" s="53" t="s">
        <v>114</v>
      </c>
      <c r="AF21" s="72"/>
      <c r="AG21" s="100"/>
      <c r="AH21" s="186">
        <v>283.39999999999998</v>
      </c>
      <c r="AI21" s="186">
        <v>47</v>
      </c>
      <c r="AJ21" s="7">
        <v>195.3</v>
      </c>
      <c r="AK21" s="7">
        <v>36</v>
      </c>
      <c r="AL21" s="53">
        <v>120.8</v>
      </c>
      <c r="AM21" s="53">
        <v>29</v>
      </c>
      <c r="AN21" s="53">
        <v>-62.6</v>
      </c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</row>
    <row r="22" spans="1:65" s="206" customFormat="1">
      <c r="A22" s="53" t="s">
        <v>1057</v>
      </c>
      <c r="B22" s="53" t="s">
        <v>1076</v>
      </c>
      <c r="C22" s="205">
        <v>128.5</v>
      </c>
      <c r="D22" s="141">
        <v>0.36899999999999999</v>
      </c>
      <c r="E22" s="53"/>
      <c r="F22" s="53">
        <v>620</v>
      </c>
      <c r="G22" s="53">
        <v>640</v>
      </c>
      <c r="H22" s="53"/>
      <c r="I22" s="71" t="s">
        <v>1070</v>
      </c>
      <c r="J22" s="53">
        <v>329</v>
      </c>
      <c r="K22" s="53">
        <v>51</v>
      </c>
      <c r="L22" s="71"/>
      <c r="M22" s="53"/>
      <c r="N22" s="53"/>
      <c r="O22" s="71"/>
      <c r="P22" s="53"/>
      <c r="Q22" s="53"/>
      <c r="R22" s="199" t="s">
        <v>1077</v>
      </c>
      <c r="S22" s="200">
        <v>128</v>
      </c>
      <c r="T22" s="53">
        <v>-23</v>
      </c>
      <c r="U22" s="53">
        <v>0.9</v>
      </c>
      <c r="V22" s="204" t="s">
        <v>1078</v>
      </c>
      <c r="W22" s="53">
        <v>146</v>
      </c>
      <c r="X22" s="53">
        <v>-14</v>
      </c>
      <c r="Y22" s="53" t="s">
        <v>1079</v>
      </c>
      <c r="Z22" s="53" t="s">
        <v>1067</v>
      </c>
      <c r="AA22" s="53">
        <v>4</v>
      </c>
      <c r="AB22" s="53">
        <v>-30</v>
      </c>
      <c r="AC22" s="53" t="s">
        <v>105</v>
      </c>
      <c r="AD22" s="53" t="s">
        <v>87</v>
      </c>
      <c r="AE22" s="53" t="s">
        <v>123</v>
      </c>
      <c r="AF22" s="72"/>
      <c r="AG22" s="100"/>
      <c r="AH22" s="186">
        <v>283.39999999999998</v>
      </c>
      <c r="AI22" s="186">
        <v>47</v>
      </c>
      <c r="AJ22" s="53">
        <v>144.6</v>
      </c>
      <c r="AK22" s="53">
        <v>18.399999999999999</v>
      </c>
      <c r="AL22" s="53">
        <v>340.3</v>
      </c>
      <c r="AM22" s="53">
        <v>-75</v>
      </c>
      <c r="AN22" s="53"/>
      <c r="AO22" s="53">
        <f>52.2+180</f>
        <v>232.2</v>
      </c>
      <c r="AP22" s="53">
        <v>-4.8</v>
      </c>
      <c r="AQ22" s="53">
        <v>-70.900000000000006</v>
      </c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</row>
    <row r="23" spans="1:65" s="206" customFormat="1">
      <c r="A23" s="53" t="s">
        <v>1057</v>
      </c>
      <c r="B23" s="53">
        <v>13.1</v>
      </c>
      <c r="C23" s="205">
        <v>131</v>
      </c>
      <c r="D23" s="53">
        <v>0.58299999999999996</v>
      </c>
      <c r="E23" s="53">
        <v>32.799999999999997</v>
      </c>
      <c r="F23" s="53">
        <v>530</v>
      </c>
      <c r="G23" s="53" t="s">
        <v>1080</v>
      </c>
      <c r="H23" s="53" t="s">
        <v>137</v>
      </c>
      <c r="I23" s="7"/>
      <c r="J23" s="7"/>
      <c r="K23" s="7"/>
      <c r="L23" s="7"/>
      <c r="M23" s="7"/>
      <c r="N23" s="7"/>
      <c r="O23" s="71" t="s">
        <v>340</v>
      </c>
      <c r="P23" s="53">
        <v>232</v>
      </c>
      <c r="Q23" s="53">
        <v>51</v>
      </c>
      <c r="R23" s="199"/>
      <c r="S23" s="200"/>
      <c r="T23" s="53"/>
      <c r="U23" s="53">
        <v>1.7</v>
      </c>
      <c r="V23" s="204" t="s">
        <v>130</v>
      </c>
      <c r="W23" s="53">
        <v>192</v>
      </c>
      <c r="X23" s="53">
        <v>-7</v>
      </c>
      <c r="Y23" s="53" t="s">
        <v>1081</v>
      </c>
      <c r="Z23" s="204" t="s">
        <v>104</v>
      </c>
      <c r="AA23" s="53">
        <v>115</v>
      </c>
      <c r="AB23" s="53">
        <v>64</v>
      </c>
      <c r="AC23" s="53" t="s">
        <v>113</v>
      </c>
      <c r="AD23" s="53" t="s">
        <v>66</v>
      </c>
      <c r="AE23" s="53" t="s">
        <v>114</v>
      </c>
      <c r="AF23" s="72"/>
      <c r="AG23" s="100"/>
      <c r="AH23" s="186">
        <v>282.39999999999998</v>
      </c>
      <c r="AI23" s="186">
        <v>47</v>
      </c>
      <c r="AJ23" s="7">
        <v>191.9</v>
      </c>
      <c r="AK23" s="7">
        <v>40</v>
      </c>
      <c r="AL23" s="7">
        <v>48.3</v>
      </c>
      <c r="AM23" s="7">
        <v>43.1</v>
      </c>
      <c r="AN23" s="53">
        <v>-59.1</v>
      </c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</row>
    <row r="24" spans="1:65" s="206" customFormat="1">
      <c r="A24" s="53" t="s">
        <v>1057</v>
      </c>
      <c r="B24" s="53" t="s">
        <v>1082</v>
      </c>
      <c r="C24" s="205">
        <v>131</v>
      </c>
      <c r="D24" s="53">
        <v>0.309</v>
      </c>
      <c r="E24" s="53"/>
      <c r="F24" s="53">
        <v>550</v>
      </c>
      <c r="G24" s="53">
        <v>575</v>
      </c>
      <c r="H24" s="53" t="s">
        <v>137</v>
      </c>
      <c r="I24" s="71" t="s">
        <v>1083</v>
      </c>
      <c r="J24" s="53">
        <v>10</v>
      </c>
      <c r="K24" s="53">
        <v>58</v>
      </c>
      <c r="L24" s="71" t="s">
        <v>1084</v>
      </c>
      <c r="M24" s="53">
        <v>192</v>
      </c>
      <c r="N24" s="53">
        <v>-36</v>
      </c>
      <c r="O24" s="71"/>
      <c r="P24" s="53"/>
      <c r="Q24" s="53"/>
      <c r="R24" s="199"/>
      <c r="S24" s="200"/>
      <c r="T24" s="53"/>
      <c r="U24" s="53">
        <v>0.8</v>
      </c>
      <c r="V24" s="53"/>
      <c r="W24" s="53"/>
      <c r="X24" s="53"/>
      <c r="Y24" s="53" t="s">
        <v>1085</v>
      </c>
      <c r="Z24" s="204" t="s">
        <v>130</v>
      </c>
      <c r="AA24" s="53">
        <v>60</v>
      </c>
      <c r="AB24" s="53">
        <v>-51</v>
      </c>
      <c r="AC24" s="53" t="s">
        <v>105</v>
      </c>
      <c r="AD24" s="53" t="s">
        <v>66</v>
      </c>
      <c r="AE24" s="53" t="s">
        <v>123</v>
      </c>
      <c r="AF24" s="72"/>
      <c r="AG24" s="100"/>
      <c r="AH24" s="186">
        <v>282.39999999999998</v>
      </c>
      <c r="AI24" s="186">
        <v>47</v>
      </c>
      <c r="AJ24" s="7"/>
      <c r="AK24" s="7"/>
      <c r="AL24" s="53">
        <v>133.4</v>
      </c>
      <c r="AM24" s="53">
        <v>-57.2</v>
      </c>
      <c r="AN24" s="53"/>
      <c r="AO24" s="53">
        <f>30.1+180</f>
        <v>210.1</v>
      </c>
      <c r="AP24" s="53">
        <v>8.5</v>
      </c>
      <c r="AQ24" s="53">
        <v>-73.3</v>
      </c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</row>
    <row r="25" spans="1:65" s="206" customFormat="1">
      <c r="A25" s="53" t="s">
        <v>1057</v>
      </c>
      <c r="B25" s="53">
        <v>14.1</v>
      </c>
      <c r="C25" s="205">
        <v>139</v>
      </c>
      <c r="D25" s="53">
        <v>0.53200000000000003</v>
      </c>
      <c r="E25" s="53">
        <v>25.2</v>
      </c>
      <c r="F25" s="53"/>
      <c r="G25" s="53" t="s">
        <v>1086</v>
      </c>
      <c r="H25" s="53" t="s">
        <v>137</v>
      </c>
      <c r="I25" s="71" t="s">
        <v>85</v>
      </c>
      <c r="J25" s="53">
        <v>22</v>
      </c>
      <c r="K25" s="53">
        <v>66</v>
      </c>
      <c r="L25" s="71"/>
      <c r="M25" s="53"/>
      <c r="N25" s="53"/>
      <c r="O25" s="71"/>
      <c r="P25" s="53"/>
      <c r="Q25" s="53"/>
      <c r="R25" s="199"/>
      <c r="S25" s="200"/>
      <c r="T25" s="53"/>
      <c r="U25" s="7"/>
      <c r="V25" s="53" t="s">
        <v>336</v>
      </c>
      <c r="W25" s="53">
        <v>342</v>
      </c>
      <c r="X25" s="53">
        <v>29</v>
      </c>
      <c r="Y25" s="204" t="s">
        <v>1087</v>
      </c>
      <c r="Z25" s="204" t="s">
        <v>423</v>
      </c>
      <c r="AA25" s="53">
        <v>262</v>
      </c>
      <c r="AB25" s="53">
        <v>17</v>
      </c>
      <c r="AC25" s="53" t="s">
        <v>105</v>
      </c>
      <c r="AD25" s="53" t="s">
        <v>106</v>
      </c>
      <c r="AE25" s="53" t="s">
        <v>88</v>
      </c>
      <c r="AF25" s="59"/>
      <c r="AG25" s="202"/>
      <c r="AH25" s="186">
        <v>277.39999999999998</v>
      </c>
      <c r="AI25" s="186">
        <v>38</v>
      </c>
      <c r="AJ25" s="7">
        <v>345.2</v>
      </c>
      <c r="AK25" s="7">
        <v>-6</v>
      </c>
      <c r="AL25" s="53">
        <v>276.2</v>
      </c>
      <c r="AM25" s="53">
        <v>22.8</v>
      </c>
      <c r="AN25" s="53"/>
      <c r="AO25" s="53">
        <v>359.4</v>
      </c>
      <c r="AP25" s="53">
        <v>-15.8</v>
      </c>
      <c r="AQ25" s="53">
        <v>46.4</v>
      </c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</row>
    <row r="26" spans="1:65" s="206" customFormat="1">
      <c r="A26" s="207" t="s">
        <v>1088</v>
      </c>
      <c r="B26" s="53">
        <v>15.1</v>
      </c>
      <c r="C26" s="53"/>
      <c r="D26" s="53">
        <v>0.34300000000000003</v>
      </c>
      <c r="E26" s="53">
        <v>8.6</v>
      </c>
      <c r="F26" s="53"/>
      <c r="G26" s="53" t="s">
        <v>1086</v>
      </c>
      <c r="H26" s="53"/>
      <c r="I26" s="71" t="s">
        <v>243</v>
      </c>
      <c r="J26" s="53">
        <v>2</v>
      </c>
      <c r="K26" s="53">
        <v>25</v>
      </c>
      <c r="L26" s="7"/>
      <c r="M26" s="7"/>
      <c r="N26" s="7"/>
      <c r="O26" s="199" t="s">
        <v>321</v>
      </c>
      <c r="P26" s="200">
        <v>130</v>
      </c>
      <c r="Q26" s="200">
        <v>-36</v>
      </c>
      <c r="R26" s="71" t="s">
        <v>1089</v>
      </c>
      <c r="S26" s="53">
        <v>358</v>
      </c>
      <c r="T26" s="53">
        <v>-28</v>
      </c>
      <c r="U26" s="200">
        <v>5</v>
      </c>
      <c r="V26" s="53"/>
      <c r="W26" s="53"/>
      <c r="X26" s="53"/>
      <c r="Y26" s="53"/>
      <c r="Z26" s="53"/>
      <c r="AA26" s="53"/>
      <c r="AB26" s="53"/>
      <c r="AC26" s="53" t="s">
        <v>1090</v>
      </c>
      <c r="AD26" s="53"/>
      <c r="AE26" s="53"/>
      <c r="AF26" s="208"/>
      <c r="AG26" s="209"/>
      <c r="AH26" s="186">
        <v>279.89999999999998</v>
      </c>
      <c r="AI26" s="186">
        <v>43.5</v>
      </c>
      <c r="AJ26" s="7"/>
      <c r="AK26" s="7"/>
      <c r="AL26" s="7"/>
      <c r="AM26" s="7" t="s">
        <v>69</v>
      </c>
      <c r="AN26" s="53"/>
      <c r="AO26" s="7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</row>
    <row r="27" spans="1:65" s="206" customFormat="1">
      <c r="A27" s="207" t="s">
        <v>1088</v>
      </c>
      <c r="B27" s="53" t="s">
        <v>1091</v>
      </c>
      <c r="C27" s="53"/>
      <c r="D27" s="53">
        <v>0.46100000000000002</v>
      </c>
      <c r="E27" s="53"/>
      <c r="F27" s="53" t="s">
        <v>1092</v>
      </c>
      <c r="G27" s="53">
        <v>670</v>
      </c>
      <c r="H27" s="53"/>
      <c r="I27" s="71"/>
      <c r="J27" s="53"/>
      <c r="K27" s="53"/>
      <c r="L27" s="7"/>
      <c r="M27" s="7"/>
      <c r="N27" s="7"/>
      <c r="O27" s="71" t="s">
        <v>1093</v>
      </c>
      <c r="P27" s="7">
        <v>254</v>
      </c>
      <c r="Q27" s="7">
        <v>52</v>
      </c>
      <c r="R27" s="199" t="s">
        <v>1094</v>
      </c>
      <c r="S27" s="200">
        <v>312</v>
      </c>
      <c r="T27" s="53">
        <v>17</v>
      </c>
      <c r="U27" s="200">
        <v>1.2</v>
      </c>
      <c r="V27" s="53"/>
      <c r="W27" s="53"/>
      <c r="X27" s="53"/>
      <c r="Y27" s="53"/>
      <c r="Z27" s="53"/>
      <c r="AA27" s="53"/>
      <c r="AB27" s="53"/>
      <c r="AC27" s="53" t="s">
        <v>1090</v>
      </c>
      <c r="AD27" s="53"/>
      <c r="AE27" s="53"/>
      <c r="AF27" s="208"/>
      <c r="AG27" s="209"/>
      <c r="AH27" s="186">
        <v>279.89999999999998</v>
      </c>
      <c r="AI27" s="186">
        <v>43.5</v>
      </c>
      <c r="AJ27" s="7"/>
      <c r="AK27" s="7"/>
      <c r="AL27" s="7"/>
      <c r="AM27" s="7" t="s">
        <v>69</v>
      </c>
      <c r="AN27" s="53"/>
      <c r="AO27" s="7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</row>
    <row r="28" spans="1:65">
      <c r="A28" s="207" t="s">
        <v>1095</v>
      </c>
      <c r="B28" s="53">
        <v>16.100000000000001</v>
      </c>
      <c r="C28" s="53"/>
      <c r="D28" s="53">
        <v>0.84299999999999997</v>
      </c>
      <c r="E28" s="53">
        <v>11.1</v>
      </c>
      <c r="F28" s="53"/>
      <c r="G28" s="53" t="s">
        <v>1096</v>
      </c>
      <c r="H28" s="53"/>
      <c r="L28" s="71"/>
      <c r="M28" s="53"/>
      <c r="N28" s="53"/>
      <c r="O28" s="71" t="s">
        <v>243</v>
      </c>
      <c r="P28" s="53">
        <v>305</v>
      </c>
      <c r="Q28" s="53">
        <v>7</v>
      </c>
      <c r="R28" s="203" t="s">
        <v>104</v>
      </c>
      <c r="S28" s="200">
        <v>315</v>
      </c>
      <c r="T28" s="53">
        <v>49</v>
      </c>
      <c r="U28" s="53">
        <v>3</v>
      </c>
      <c r="V28" s="53"/>
      <c r="W28" s="53"/>
      <c r="X28" s="53"/>
      <c r="Y28" s="53" t="s">
        <v>1097</v>
      </c>
      <c r="Z28" s="53"/>
      <c r="AA28" s="53"/>
      <c r="AB28" s="53"/>
      <c r="AC28" s="53" t="s">
        <v>1090</v>
      </c>
      <c r="AD28" s="53"/>
      <c r="AE28" s="53"/>
      <c r="AF28" s="208"/>
      <c r="AG28" s="209"/>
      <c r="AH28" s="186">
        <v>279.89999999999998</v>
      </c>
      <c r="AI28" s="186">
        <v>43.5</v>
      </c>
      <c r="AM28" s="7" t="s">
        <v>69</v>
      </c>
    </row>
    <row r="29" spans="1:65" s="206" customFormat="1">
      <c r="A29" s="53" t="s">
        <v>1057</v>
      </c>
      <c r="B29" s="53">
        <v>17.100000000000001</v>
      </c>
      <c r="C29" s="205">
        <v>141</v>
      </c>
      <c r="D29" s="53">
        <v>0.44600000000000001</v>
      </c>
      <c r="E29" s="53">
        <v>14.7</v>
      </c>
      <c r="F29" s="53"/>
      <c r="G29" s="53" t="s">
        <v>1098</v>
      </c>
      <c r="H29" s="53" t="s">
        <v>137</v>
      </c>
      <c r="I29" s="71" t="s">
        <v>1099</v>
      </c>
      <c r="J29" s="53">
        <v>290</v>
      </c>
      <c r="K29" s="53">
        <v>83</v>
      </c>
      <c r="L29" s="203"/>
      <c r="M29" s="53"/>
      <c r="N29" s="53"/>
      <c r="O29" s="71"/>
      <c r="P29" s="53"/>
      <c r="Q29" s="53"/>
      <c r="R29" s="199"/>
      <c r="S29" s="200"/>
      <c r="T29" s="53"/>
      <c r="U29" s="53">
        <v>1.4</v>
      </c>
      <c r="V29" s="53"/>
      <c r="W29" s="53"/>
      <c r="X29" s="53"/>
      <c r="Y29" s="53" t="s">
        <v>1100</v>
      </c>
      <c r="Z29" s="53"/>
      <c r="AA29" s="53"/>
      <c r="AB29" s="53"/>
      <c r="AC29" s="53" t="s">
        <v>1101</v>
      </c>
      <c r="AD29" s="53"/>
      <c r="AE29" s="53" t="s">
        <v>181</v>
      </c>
      <c r="AF29" s="201"/>
      <c r="AG29" s="202"/>
      <c r="AH29" s="186">
        <v>282.39999999999998</v>
      </c>
      <c r="AI29" s="186">
        <v>49</v>
      </c>
      <c r="AJ29" s="7"/>
      <c r="AK29" s="7"/>
      <c r="AL29" s="7"/>
      <c r="AM29" s="7" t="s">
        <v>69</v>
      </c>
      <c r="AN29" s="53"/>
      <c r="AO29" s="7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</row>
    <row r="30" spans="1:65" s="206" customFormat="1">
      <c r="A30" s="53" t="s">
        <v>1057</v>
      </c>
      <c r="B30" s="53" t="s">
        <v>1102</v>
      </c>
      <c r="C30" s="205">
        <v>141</v>
      </c>
      <c r="D30" s="53">
        <v>0.33500000000000002</v>
      </c>
      <c r="E30" s="53"/>
      <c r="F30" s="53" t="s">
        <v>1103</v>
      </c>
      <c r="G30" s="53">
        <v>640</v>
      </c>
      <c r="H30" s="53" t="s">
        <v>137</v>
      </c>
      <c r="I30" s="71" t="s">
        <v>1104</v>
      </c>
      <c r="J30" s="53">
        <v>15</v>
      </c>
      <c r="K30" s="53">
        <v>60</v>
      </c>
      <c r="L30" s="71"/>
      <c r="M30" s="53"/>
      <c r="N30" s="53"/>
      <c r="O30" s="71"/>
      <c r="P30" s="53"/>
      <c r="Q30" s="53"/>
      <c r="R30" s="199"/>
      <c r="S30" s="200"/>
      <c r="T30" s="53"/>
      <c r="U30" s="53">
        <v>1.4</v>
      </c>
      <c r="V30" s="53"/>
      <c r="W30" s="53"/>
      <c r="X30" s="53"/>
      <c r="Y30" s="53" t="s">
        <v>1105</v>
      </c>
      <c r="Z30" s="204" t="s">
        <v>1106</v>
      </c>
      <c r="AA30" s="53">
        <v>173</v>
      </c>
      <c r="AB30" s="53">
        <v>29</v>
      </c>
      <c r="AC30" s="53" t="s">
        <v>412</v>
      </c>
      <c r="AD30" s="53"/>
      <c r="AE30" s="53" t="s">
        <v>181</v>
      </c>
      <c r="AF30" s="201"/>
      <c r="AG30" s="202"/>
      <c r="AH30" s="186">
        <v>282.39999999999998</v>
      </c>
      <c r="AI30" s="186">
        <v>49</v>
      </c>
      <c r="AJ30" s="7"/>
      <c r="AK30" s="7"/>
      <c r="AL30" s="53"/>
      <c r="AM30" s="53"/>
      <c r="AN30" s="53"/>
      <c r="AO30" s="7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</row>
    <row r="31" spans="1:65" s="206" customFormat="1">
      <c r="A31" s="53" t="s">
        <v>1057</v>
      </c>
      <c r="B31" s="53">
        <v>18.100000000000001</v>
      </c>
      <c r="C31" s="205">
        <v>145.5</v>
      </c>
      <c r="D31" s="53">
        <v>0.90600000000000003</v>
      </c>
      <c r="E31" s="53">
        <v>37.9</v>
      </c>
      <c r="F31" s="53">
        <v>400</v>
      </c>
      <c r="G31" s="53" t="s">
        <v>1107</v>
      </c>
      <c r="H31" s="53" t="s">
        <v>137</v>
      </c>
      <c r="I31" s="7"/>
      <c r="J31" s="7"/>
      <c r="K31" s="7"/>
      <c r="L31" s="203" t="s">
        <v>227</v>
      </c>
      <c r="M31" s="53">
        <v>168</v>
      </c>
      <c r="N31" s="53">
        <v>-41</v>
      </c>
      <c r="O31" s="71"/>
      <c r="P31" s="53"/>
      <c r="Q31" s="53"/>
      <c r="R31" s="71" t="s">
        <v>243</v>
      </c>
      <c r="S31" s="53">
        <v>272</v>
      </c>
      <c r="T31" s="53">
        <v>29</v>
      </c>
      <c r="U31" s="53">
        <v>2</v>
      </c>
      <c r="V31" s="53" t="s">
        <v>321</v>
      </c>
      <c r="W31" s="53">
        <v>210</v>
      </c>
      <c r="X31" s="53">
        <v>-32</v>
      </c>
      <c r="Y31" s="53" t="s">
        <v>1108</v>
      </c>
      <c r="Z31" s="53" t="s">
        <v>279</v>
      </c>
      <c r="AA31" s="53">
        <v>331</v>
      </c>
      <c r="AB31" s="53">
        <v>-41</v>
      </c>
      <c r="AC31" s="53" t="s">
        <v>113</v>
      </c>
      <c r="AD31" s="53" t="s">
        <v>87</v>
      </c>
      <c r="AE31" s="53" t="s">
        <v>114</v>
      </c>
      <c r="AF31" s="72"/>
      <c r="AG31" s="100"/>
      <c r="AH31" s="186">
        <v>282.39999999999998</v>
      </c>
      <c r="AI31" s="186">
        <v>49</v>
      </c>
      <c r="AJ31" s="7">
        <v>207.8</v>
      </c>
      <c r="AK31" s="7">
        <v>15.2</v>
      </c>
      <c r="AL31" s="53">
        <v>268.5</v>
      </c>
      <c r="AM31" s="53">
        <v>-59.1</v>
      </c>
      <c r="AN31" s="53">
        <v>-73.2</v>
      </c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</row>
    <row r="32" spans="1:65" s="206" customFormat="1">
      <c r="A32" s="53" t="s">
        <v>1057</v>
      </c>
      <c r="B32" s="53" t="s">
        <v>1109</v>
      </c>
      <c r="C32" s="205">
        <v>145.5</v>
      </c>
      <c r="D32" s="53">
        <v>0.33200000000000002</v>
      </c>
      <c r="E32" s="53"/>
      <c r="F32" s="53" t="s">
        <v>1110</v>
      </c>
      <c r="G32" s="53">
        <v>640</v>
      </c>
      <c r="H32" s="53" t="s">
        <v>137</v>
      </c>
      <c r="I32" s="71"/>
      <c r="J32" s="53"/>
      <c r="K32" s="53"/>
      <c r="L32" s="203" t="s">
        <v>165</v>
      </c>
      <c r="M32" s="53">
        <v>165</v>
      </c>
      <c r="N32" s="53">
        <v>-17</v>
      </c>
      <c r="O32" s="71"/>
      <c r="P32" s="53"/>
      <c r="Q32" s="53"/>
      <c r="R32" s="71"/>
      <c r="S32" s="53"/>
      <c r="T32" s="53"/>
      <c r="U32" s="53">
        <v>0.6</v>
      </c>
      <c r="V32" s="53" t="s">
        <v>1111</v>
      </c>
      <c r="W32" s="53">
        <v>222</v>
      </c>
      <c r="X32" s="53">
        <v>-35</v>
      </c>
      <c r="Y32" s="53" t="s">
        <v>402</v>
      </c>
      <c r="Z32" s="53" t="s">
        <v>1112</v>
      </c>
      <c r="AA32" s="53">
        <v>116</v>
      </c>
      <c r="AB32" s="53">
        <v>-22</v>
      </c>
      <c r="AC32" s="53" t="s">
        <v>167</v>
      </c>
      <c r="AD32" s="53" t="s">
        <v>87</v>
      </c>
      <c r="AE32" s="53" t="s">
        <v>309</v>
      </c>
      <c r="AF32" s="72"/>
      <c r="AG32" s="100"/>
      <c r="AH32" s="186">
        <v>282.39999999999998</v>
      </c>
      <c r="AI32" s="186">
        <v>49</v>
      </c>
      <c r="AJ32" s="53">
        <v>216.6</v>
      </c>
      <c r="AK32" s="53">
        <v>9.3000000000000007</v>
      </c>
      <c r="AL32" s="53">
        <v>127.7</v>
      </c>
      <c r="AM32" s="53">
        <v>-4.7</v>
      </c>
      <c r="AN32" s="53">
        <v>-78</v>
      </c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</row>
    <row r="33" spans="1:65" s="206" customFormat="1">
      <c r="A33" s="53" t="s">
        <v>1057</v>
      </c>
      <c r="B33" s="53">
        <v>19.100000000000001</v>
      </c>
      <c r="C33" s="205">
        <v>148</v>
      </c>
      <c r="D33" s="53">
        <v>0.38700000000000001</v>
      </c>
      <c r="E33" s="53">
        <v>23.9</v>
      </c>
      <c r="F33" s="53">
        <v>530</v>
      </c>
      <c r="G33" s="53" t="s">
        <v>1113</v>
      </c>
      <c r="H33" s="53" t="s">
        <v>137</v>
      </c>
      <c r="I33" s="71"/>
      <c r="J33" s="53"/>
      <c r="K33" s="53"/>
      <c r="L33" s="71"/>
      <c r="M33" s="53"/>
      <c r="N33" s="53"/>
      <c r="O33" s="71"/>
      <c r="P33" s="53"/>
      <c r="Q33" s="53"/>
      <c r="R33" s="203" t="s">
        <v>158</v>
      </c>
      <c r="S33" s="53">
        <v>119</v>
      </c>
      <c r="T33" s="53">
        <v>-21</v>
      </c>
      <c r="U33" s="53">
        <v>2.2000000000000002</v>
      </c>
      <c r="V33" s="53"/>
      <c r="W33" s="53"/>
      <c r="X33" s="53"/>
      <c r="Y33" s="53"/>
      <c r="Z33" s="53"/>
      <c r="AA33" s="53"/>
      <c r="AB33" s="53"/>
      <c r="AC33" s="53" t="s">
        <v>412</v>
      </c>
      <c r="AD33" s="53"/>
      <c r="AE33" s="53" t="s">
        <v>181</v>
      </c>
      <c r="AF33" s="72"/>
      <c r="AG33" s="202"/>
      <c r="AH33" s="186">
        <v>282.39999999999998</v>
      </c>
      <c r="AI33" s="186">
        <v>49</v>
      </c>
      <c r="AJ33" s="7"/>
      <c r="AK33" s="7"/>
      <c r="AL33" s="7"/>
      <c r="AM33" s="7" t="s">
        <v>69</v>
      </c>
      <c r="AN33" s="53"/>
      <c r="AO33" s="7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</row>
    <row r="34" spans="1:65" s="206" customFormat="1">
      <c r="A34" s="53" t="s">
        <v>1057</v>
      </c>
      <c r="B34" s="53" t="s">
        <v>1114</v>
      </c>
      <c r="C34" s="205">
        <v>148</v>
      </c>
      <c r="D34" s="53">
        <v>0.434</v>
      </c>
      <c r="E34" s="53"/>
      <c r="F34" s="53" t="s">
        <v>1110</v>
      </c>
      <c r="G34" s="53">
        <v>640</v>
      </c>
      <c r="H34" s="53" t="s">
        <v>137</v>
      </c>
      <c r="I34" s="71" t="s">
        <v>1070</v>
      </c>
      <c r="J34" s="53">
        <v>99</v>
      </c>
      <c r="K34" s="53">
        <v>62</v>
      </c>
      <c r="L34" s="71" t="s">
        <v>1115</v>
      </c>
      <c r="M34" s="53">
        <v>171</v>
      </c>
      <c r="N34" s="53">
        <v>-30</v>
      </c>
      <c r="O34" s="71"/>
      <c r="P34" s="53"/>
      <c r="Q34" s="53"/>
      <c r="R34" s="71"/>
      <c r="S34" s="53"/>
      <c r="T34" s="53"/>
      <c r="U34" s="53">
        <v>1</v>
      </c>
      <c r="V34" s="204" t="s">
        <v>222</v>
      </c>
      <c r="W34" s="53">
        <v>217</v>
      </c>
      <c r="X34" s="53">
        <v>-40</v>
      </c>
      <c r="Y34" s="53"/>
      <c r="Z34" s="204" t="s">
        <v>1116</v>
      </c>
      <c r="AA34" s="53">
        <v>332</v>
      </c>
      <c r="AB34" s="53">
        <v>-27</v>
      </c>
      <c r="AC34" s="53" t="s">
        <v>167</v>
      </c>
      <c r="AD34" s="53" t="s">
        <v>66</v>
      </c>
      <c r="AE34" s="53" t="s">
        <v>309</v>
      </c>
      <c r="AF34" s="72"/>
      <c r="AG34" s="202"/>
      <c r="AH34" s="186">
        <v>282.39999999999998</v>
      </c>
      <c r="AI34" s="186">
        <v>49</v>
      </c>
      <c r="AJ34" s="53">
        <v>211.1</v>
      </c>
      <c r="AK34" s="53">
        <v>6</v>
      </c>
      <c r="AL34" s="53">
        <v>292.5</v>
      </c>
      <c r="AM34" s="53">
        <v>-54.1</v>
      </c>
      <c r="AN34" s="53">
        <v>-73.2</v>
      </c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</row>
    <row r="35" spans="1:65" s="206" customFormat="1">
      <c r="A35" s="53" t="s">
        <v>1057</v>
      </c>
      <c r="B35" s="53">
        <v>20.100000000000001</v>
      </c>
      <c r="C35" s="205">
        <v>156</v>
      </c>
      <c r="D35" s="53">
        <v>0.47599999999999998</v>
      </c>
      <c r="E35" s="53">
        <v>32.200000000000003</v>
      </c>
      <c r="F35" s="53"/>
      <c r="G35" s="53">
        <v>610</v>
      </c>
      <c r="H35" s="53" t="s">
        <v>137</v>
      </c>
      <c r="I35" s="71"/>
      <c r="J35" s="53"/>
      <c r="K35" s="53"/>
      <c r="L35" s="7"/>
      <c r="M35" s="7"/>
      <c r="N35" s="7"/>
      <c r="O35" s="71"/>
      <c r="P35" s="53"/>
      <c r="Q35" s="53"/>
      <c r="R35" s="71" t="s">
        <v>1117</v>
      </c>
      <c r="S35" s="53">
        <v>109</v>
      </c>
      <c r="T35" s="53">
        <v>1</v>
      </c>
      <c r="U35" s="53">
        <v>1.8</v>
      </c>
      <c r="V35" s="71" t="s">
        <v>1060</v>
      </c>
      <c r="W35" s="53">
        <v>190</v>
      </c>
      <c r="X35" s="53">
        <v>-26</v>
      </c>
      <c r="Y35" s="99" t="s">
        <v>1118</v>
      </c>
      <c r="Z35" s="53"/>
      <c r="AA35" s="53"/>
      <c r="AB35" s="53"/>
      <c r="AC35" s="53" t="s">
        <v>113</v>
      </c>
      <c r="AD35" s="53"/>
      <c r="AE35" s="53" t="s">
        <v>114</v>
      </c>
      <c r="AF35" s="72"/>
      <c r="AG35" s="202"/>
      <c r="AH35" s="186">
        <v>282.39999999999998</v>
      </c>
      <c r="AI35" s="186">
        <v>49</v>
      </c>
      <c r="AJ35" s="53">
        <v>190.1</v>
      </c>
      <c r="AK35" s="53">
        <v>23</v>
      </c>
      <c r="AL35" s="7"/>
      <c r="AM35" s="7" t="s">
        <v>69</v>
      </c>
      <c r="AN35" s="53">
        <v>-57.5</v>
      </c>
      <c r="AO35" s="7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</row>
    <row r="36" spans="1:65" s="206" customFormat="1">
      <c r="A36" s="53" t="s">
        <v>1057</v>
      </c>
      <c r="B36" s="53" t="s">
        <v>1119</v>
      </c>
      <c r="C36" s="205">
        <v>156</v>
      </c>
      <c r="D36" s="53">
        <v>0.48299999999999998</v>
      </c>
      <c r="E36" s="53"/>
      <c r="F36" s="53">
        <v>620</v>
      </c>
      <c r="G36" s="53">
        <v>640</v>
      </c>
      <c r="H36" s="53" t="s">
        <v>137</v>
      </c>
      <c r="I36" s="71"/>
      <c r="J36" s="53"/>
      <c r="K36" s="53"/>
      <c r="L36" s="71"/>
      <c r="M36" s="53"/>
      <c r="N36" s="53"/>
      <c r="O36" s="71"/>
      <c r="P36" s="53"/>
      <c r="Q36" s="53"/>
      <c r="R36" s="203" t="s">
        <v>146</v>
      </c>
      <c r="S36" s="53">
        <v>146</v>
      </c>
      <c r="T36" s="53">
        <v>-45</v>
      </c>
      <c r="U36" s="53">
        <v>2.5</v>
      </c>
      <c r="V36" s="53" t="s">
        <v>1120</v>
      </c>
      <c r="W36" s="53">
        <v>219</v>
      </c>
      <c r="X36" s="53">
        <v>23</v>
      </c>
      <c r="Y36" s="53" t="s">
        <v>1121</v>
      </c>
      <c r="Z36" s="53" t="s">
        <v>1122</v>
      </c>
      <c r="AA36" s="53">
        <v>328</v>
      </c>
      <c r="AB36" s="53">
        <v>43</v>
      </c>
      <c r="AC36" s="53" t="s">
        <v>159</v>
      </c>
      <c r="AD36" s="53" t="s">
        <v>87</v>
      </c>
      <c r="AE36" s="53" t="s">
        <v>149</v>
      </c>
      <c r="AF36" s="72"/>
      <c r="AG36" s="202"/>
      <c r="AH36" s="186">
        <v>282.39999999999998</v>
      </c>
      <c r="AI36" s="186">
        <v>49</v>
      </c>
      <c r="AJ36" s="53">
        <v>251.7</v>
      </c>
      <c r="AK36" s="53">
        <v>61.3</v>
      </c>
      <c r="AL36" s="53">
        <v>341.6</v>
      </c>
      <c r="AM36" s="53">
        <v>3</v>
      </c>
      <c r="AN36" s="53"/>
      <c r="AO36" s="53">
        <f>69.7+180</f>
        <v>249.7</v>
      </c>
      <c r="AP36" s="53">
        <v>31.7</v>
      </c>
      <c r="AQ36" s="53">
        <v>-64.599999999999994</v>
      </c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</row>
    <row r="37" spans="1:65" s="206" customFormat="1">
      <c r="A37" s="53" t="s">
        <v>1057</v>
      </c>
      <c r="B37" s="53">
        <v>21.1</v>
      </c>
      <c r="C37" s="205">
        <v>158.5962143552531</v>
      </c>
      <c r="D37" s="53">
        <v>0.187</v>
      </c>
      <c r="E37" s="53">
        <v>32.6</v>
      </c>
      <c r="F37" s="53"/>
      <c r="G37" s="53" t="s">
        <v>1123</v>
      </c>
      <c r="H37" s="53" t="s">
        <v>137</v>
      </c>
      <c r="I37" s="71" t="s">
        <v>243</v>
      </c>
      <c r="J37" s="53">
        <v>7</v>
      </c>
      <c r="K37" s="53">
        <v>64</v>
      </c>
      <c r="L37" s="203" t="s">
        <v>553</v>
      </c>
      <c r="M37" s="53">
        <v>165</v>
      </c>
      <c r="N37" s="53">
        <v>-43</v>
      </c>
      <c r="O37" s="71"/>
      <c r="P37" s="53"/>
      <c r="Q37" s="53"/>
      <c r="R37" s="71"/>
      <c r="S37" s="53"/>
      <c r="T37" s="53"/>
      <c r="U37" s="7">
        <v>1.7</v>
      </c>
      <c r="V37" s="53" t="s">
        <v>166</v>
      </c>
      <c r="W37" s="53">
        <v>199</v>
      </c>
      <c r="X37" s="53">
        <v>-13</v>
      </c>
      <c r="Y37" s="53" t="s">
        <v>1124</v>
      </c>
      <c r="Z37" s="204" t="s">
        <v>158</v>
      </c>
      <c r="AA37" s="53">
        <v>341</v>
      </c>
      <c r="AB37" s="53">
        <v>-46</v>
      </c>
      <c r="AC37" s="53" t="s">
        <v>113</v>
      </c>
      <c r="AD37" s="53" t="s">
        <v>66</v>
      </c>
      <c r="AE37" s="53" t="s">
        <v>114</v>
      </c>
      <c r="AF37" s="72"/>
      <c r="AG37" s="100"/>
      <c r="AH37" s="186">
        <v>282.39999999999998</v>
      </c>
      <c r="AI37" s="186">
        <v>49</v>
      </c>
      <c r="AJ37" s="7">
        <v>200.3</v>
      </c>
      <c r="AK37" s="7">
        <v>35.700000000000003</v>
      </c>
      <c r="AL37" s="53">
        <v>259.39999999999998</v>
      </c>
      <c r="AM37" s="53">
        <v>-66.8</v>
      </c>
      <c r="AN37" s="53">
        <v>-67.3</v>
      </c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</row>
    <row r="38" spans="1:65" s="206" customFormat="1">
      <c r="A38" s="53" t="s">
        <v>1057</v>
      </c>
      <c r="B38" s="53" t="s">
        <v>1125</v>
      </c>
      <c r="C38" s="205">
        <v>158.5962143552531</v>
      </c>
      <c r="D38" s="53">
        <v>0.16200000000000001</v>
      </c>
      <c r="E38" s="53"/>
      <c r="F38" s="53">
        <v>550</v>
      </c>
      <c r="G38" s="53">
        <v>640</v>
      </c>
      <c r="H38" s="53" t="s">
        <v>137</v>
      </c>
      <c r="I38" s="71" t="s">
        <v>243</v>
      </c>
      <c r="J38" s="53">
        <v>332</v>
      </c>
      <c r="K38" s="53">
        <v>54</v>
      </c>
      <c r="L38" s="203" t="s">
        <v>244</v>
      </c>
      <c r="M38" s="53">
        <v>163</v>
      </c>
      <c r="N38" s="53">
        <v>-38</v>
      </c>
      <c r="O38" s="71"/>
      <c r="P38" s="53"/>
      <c r="Q38" s="53"/>
      <c r="R38" s="71"/>
      <c r="S38" s="53"/>
      <c r="T38" s="53"/>
      <c r="U38" s="53">
        <v>1</v>
      </c>
      <c r="V38" s="53" t="s">
        <v>321</v>
      </c>
      <c r="W38" s="53">
        <v>201</v>
      </c>
      <c r="X38" s="53">
        <v>4</v>
      </c>
      <c r="Y38" s="53" t="s">
        <v>529</v>
      </c>
      <c r="Z38" s="53" t="s">
        <v>385</v>
      </c>
      <c r="AA38" s="53">
        <v>112</v>
      </c>
      <c r="AB38" s="53">
        <v>31</v>
      </c>
      <c r="AC38" s="53" t="s">
        <v>159</v>
      </c>
      <c r="AD38" s="53" t="s">
        <v>66</v>
      </c>
      <c r="AE38" s="53" t="s">
        <v>114</v>
      </c>
      <c r="AF38" s="72"/>
      <c r="AG38" s="100"/>
      <c r="AH38" s="186">
        <v>282.39999999999998</v>
      </c>
      <c r="AI38" s="186">
        <v>49</v>
      </c>
      <c r="AJ38" s="53">
        <v>206.5</v>
      </c>
      <c r="AK38" s="53">
        <v>52.2</v>
      </c>
      <c r="AL38" s="53">
        <v>83.2</v>
      </c>
      <c r="AM38" s="53">
        <v>26.5</v>
      </c>
      <c r="AN38" s="53"/>
      <c r="AO38" s="53">
        <f>22.6+180</f>
        <v>202.6</v>
      </c>
      <c r="AP38" s="53">
        <v>44.6</v>
      </c>
      <c r="AQ38" s="53">
        <v>-67.3</v>
      </c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</row>
    <row r="39" spans="1:65" s="210" customFormat="1">
      <c r="A39" s="53" t="s">
        <v>1126</v>
      </c>
      <c r="B39" s="53">
        <v>30.1</v>
      </c>
      <c r="C39" s="205">
        <v>160.19999999999999</v>
      </c>
      <c r="D39" s="53">
        <v>2.2829999999999999</v>
      </c>
      <c r="E39" s="53">
        <v>20.5</v>
      </c>
      <c r="F39" s="53">
        <v>550</v>
      </c>
      <c r="G39" s="53" t="s">
        <v>1127</v>
      </c>
      <c r="H39" s="53" t="s">
        <v>137</v>
      </c>
      <c r="I39" s="71"/>
      <c r="J39" s="53"/>
      <c r="K39" s="53"/>
      <c r="L39" s="71"/>
      <c r="M39" s="53"/>
      <c r="N39" s="53"/>
      <c r="O39" s="71"/>
      <c r="P39" s="53"/>
      <c r="Q39" s="53"/>
      <c r="R39" s="71" t="s">
        <v>340</v>
      </c>
      <c r="S39" s="53">
        <v>77</v>
      </c>
      <c r="T39" s="53">
        <v>-1</v>
      </c>
      <c r="U39" s="53">
        <v>2.5</v>
      </c>
      <c r="V39" s="53" t="s">
        <v>1128</v>
      </c>
      <c r="W39" s="53">
        <v>217</v>
      </c>
      <c r="X39" s="53">
        <v>-32</v>
      </c>
      <c r="Y39" s="53"/>
      <c r="Z39" s="53" t="s">
        <v>1129</v>
      </c>
      <c r="AA39" s="53">
        <v>173</v>
      </c>
      <c r="AB39" s="53">
        <v>51</v>
      </c>
      <c r="AC39" s="53" t="s">
        <v>113</v>
      </c>
      <c r="AD39" s="53" t="s">
        <v>87</v>
      </c>
      <c r="AE39" s="53" t="s">
        <v>309</v>
      </c>
      <c r="AF39" s="72"/>
      <c r="AG39" s="100"/>
      <c r="AH39" s="186">
        <v>292.5</v>
      </c>
      <c r="AI39" s="186">
        <v>51</v>
      </c>
      <c r="AJ39" s="7">
        <v>215.4</v>
      </c>
      <c r="AK39" s="7">
        <v>17.7</v>
      </c>
      <c r="AL39" s="53">
        <v>72.599999999999994</v>
      </c>
      <c r="AM39" s="53">
        <v>66.2</v>
      </c>
      <c r="AN39" s="53">
        <v>-80.400000000000006</v>
      </c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</row>
    <row r="40" spans="1:65" s="211" customFormat="1">
      <c r="A40" s="53" t="s">
        <v>1126</v>
      </c>
      <c r="B40" s="53">
        <v>30.2</v>
      </c>
      <c r="C40" s="205">
        <v>160.19999999999999</v>
      </c>
      <c r="D40" s="53">
        <v>2.6960000000000002</v>
      </c>
      <c r="E40" s="53">
        <v>20.399999999999999</v>
      </c>
      <c r="F40" s="53">
        <v>550</v>
      </c>
      <c r="G40" s="53" t="s">
        <v>1130</v>
      </c>
      <c r="H40" s="53" t="s">
        <v>137</v>
      </c>
      <c r="I40" s="71" t="s">
        <v>354</v>
      </c>
      <c r="J40" s="53">
        <v>111</v>
      </c>
      <c r="K40" s="53">
        <v>61</v>
      </c>
      <c r="L40" s="71"/>
      <c r="M40" s="53"/>
      <c r="N40" s="53"/>
      <c r="O40" s="71"/>
      <c r="P40" s="53"/>
      <c r="Q40" s="53"/>
      <c r="R40" s="71"/>
      <c r="S40" s="53"/>
      <c r="T40" s="53"/>
      <c r="U40" s="53">
        <v>5</v>
      </c>
      <c r="V40" s="53" t="s">
        <v>1131</v>
      </c>
      <c r="W40" s="53">
        <v>229</v>
      </c>
      <c r="X40" s="53">
        <v>-22</v>
      </c>
      <c r="Y40" s="53"/>
      <c r="Z40" s="53"/>
      <c r="AA40" s="53"/>
      <c r="AB40" s="53"/>
      <c r="AC40" s="53" t="s">
        <v>113</v>
      </c>
      <c r="AD40" s="53"/>
      <c r="AE40" s="53" t="s">
        <v>1132</v>
      </c>
      <c r="AF40" s="72"/>
      <c r="AG40" s="100"/>
      <c r="AH40" s="186">
        <v>292.5</v>
      </c>
      <c r="AI40" s="186">
        <v>51</v>
      </c>
      <c r="AJ40" s="7">
        <v>229.5</v>
      </c>
      <c r="AK40" s="7">
        <v>24.1</v>
      </c>
      <c r="AL40" s="53"/>
      <c r="AM40" s="53"/>
      <c r="AN40" s="53">
        <v>-83.8</v>
      </c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</row>
    <row r="41" spans="1:65" s="212" customFormat="1">
      <c r="A41" s="53" t="s">
        <v>1126</v>
      </c>
      <c r="B41" s="53">
        <v>30.4</v>
      </c>
      <c r="C41" s="205">
        <v>160.19999999999999</v>
      </c>
      <c r="D41" s="53">
        <v>4.4569999999999999</v>
      </c>
      <c r="E41" s="53">
        <v>20.100000000000001</v>
      </c>
      <c r="F41" s="53">
        <v>575</v>
      </c>
      <c r="G41" s="53" t="s">
        <v>1133</v>
      </c>
      <c r="H41" s="53" t="s">
        <v>137</v>
      </c>
      <c r="I41" s="71"/>
      <c r="J41" s="53"/>
      <c r="K41" s="53"/>
      <c r="L41" s="92"/>
      <c r="M41" s="92"/>
      <c r="N41" s="92"/>
      <c r="O41" s="203" t="s">
        <v>1134</v>
      </c>
      <c r="P41" s="53">
        <v>151</v>
      </c>
      <c r="Q41" s="53">
        <v>-55</v>
      </c>
      <c r="R41" s="71" t="s">
        <v>354</v>
      </c>
      <c r="S41" s="53">
        <v>268</v>
      </c>
      <c r="T41" s="53">
        <v>24</v>
      </c>
      <c r="U41" s="53">
        <v>1.2</v>
      </c>
      <c r="V41" s="53"/>
      <c r="W41" s="53"/>
      <c r="X41" s="53"/>
      <c r="Y41" s="53" t="s">
        <v>1135</v>
      </c>
      <c r="Z41" s="204" t="s">
        <v>165</v>
      </c>
      <c r="AA41" s="53">
        <v>212</v>
      </c>
      <c r="AB41" s="53">
        <v>14</v>
      </c>
      <c r="AC41" s="53" t="s">
        <v>412</v>
      </c>
      <c r="AD41" s="53" t="s">
        <v>66</v>
      </c>
      <c r="AE41" s="53" t="s">
        <v>181</v>
      </c>
      <c r="AF41" s="72"/>
      <c r="AG41" s="100"/>
      <c r="AH41" s="186">
        <v>292.5</v>
      </c>
      <c r="AI41" s="186">
        <v>51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</row>
    <row r="42" spans="1:65" s="211" customFormat="1">
      <c r="A42" s="53" t="s">
        <v>1126</v>
      </c>
      <c r="B42" s="53" t="s">
        <v>1136</v>
      </c>
      <c r="C42" s="205">
        <v>160.19999999999999</v>
      </c>
      <c r="D42" s="53">
        <v>4.625</v>
      </c>
      <c r="E42" s="53"/>
      <c r="F42" s="53" t="s">
        <v>1092</v>
      </c>
      <c r="G42" s="53">
        <v>690</v>
      </c>
      <c r="H42" s="53" t="s">
        <v>137</v>
      </c>
      <c r="I42" s="71" t="s">
        <v>385</v>
      </c>
      <c r="J42" s="53">
        <v>273</v>
      </c>
      <c r="K42" s="53">
        <v>72</v>
      </c>
      <c r="L42" s="53"/>
      <c r="M42" s="53"/>
      <c r="N42" s="53"/>
      <c r="O42" s="203" t="s">
        <v>1137</v>
      </c>
      <c r="P42" s="53">
        <v>144</v>
      </c>
      <c r="Q42" s="53">
        <v>-39</v>
      </c>
      <c r="R42" s="53" t="s">
        <v>1138</v>
      </c>
      <c r="S42" s="53">
        <v>248</v>
      </c>
      <c r="T42" s="53">
        <v>10</v>
      </c>
      <c r="U42" s="53">
        <v>1.5</v>
      </c>
      <c r="V42" s="53" t="s">
        <v>1139</v>
      </c>
      <c r="W42" s="53">
        <v>237</v>
      </c>
      <c r="X42" s="53">
        <v>-25</v>
      </c>
      <c r="Y42" s="53" t="s">
        <v>262</v>
      </c>
      <c r="Z42" s="204" t="s">
        <v>1140</v>
      </c>
      <c r="AA42" s="53">
        <v>177</v>
      </c>
      <c r="AB42" s="53">
        <v>46</v>
      </c>
      <c r="AC42" s="53" t="s">
        <v>469</v>
      </c>
      <c r="AD42" s="53" t="s">
        <v>66</v>
      </c>
      <c r="AE42" s="53" t="s">
        <v>309</v>
      </c>
      <c r="AF42" s="72"/>
      <c r="AG42" s="100"/>
      <c r="AH42" s="186">
        <v>292.5</v>
      </c>
      <c r="AI42" s="186">
        <v>51</v>
      </c>
      <c r="AJ42" s="53">
        <v>235.2</v>
      </c>
      <c r="AK42" s="53">
        <v>18.3</v>
      </c>
      <c r="AL42" s="53">
        <v>83.7</v>
      </c>
      <c r="AM42" s="53">
        <v>70</v>
      </c>
      <c r="AN42" s="53">
        <v>-77.400000000000006</v>
      </c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</row>
    <row r="43" spans="1:65" s="210" customFormat="1">
      <c r="A43" s="53" t="s">
        <v>1126</v>
      </c>
      <c r="B43" s="53">
        <v>31.1</v>
      </c>
      <c r="C43" s="205">
        <v>163.6</v>
      </c>
      <c r="D43" s="141">
        <v>7.99</v>
      </c>
      <c r="E43" s="53">
        <v>24.1</v>
      </c>
      <c r="F43" s="53">
        <v>600</v>
      </c>
      <c r="G43" s="53" t="s">
        <v>1141</v>
      </c>
      <c r="H43" s="53" t="s">
        <v>137</v>
      </c>
      <c r="I43" s="71"/>
      <c r="J43" s="53"/>
      <c r="K43" s="53"/>
      <c r="L43" s="71" t="s">
        <v>340</v>
      </c>
      <c r="M43" s="53">
        <v>160</v>
      </c>
      <c r="N43" s="53">
        <v>19</v>
      </c>
      <c r="O43" s="71"/>
      <c r="P43" s="53"/>
      <c r="Q43" s="53"/>
      <c r="R43" s="71" t="s">
        <v>1142</v>
      </c>
      <c r="S43" s="53">
        <v>57</v>
      </c>
      <c r="T43" s="53">
        <v>8</v>
      </c>
      <c r="U43" s="53">
        <v>5</v>
      </c>
      <c r="V43" s="204" t="s">
        <v>1143</v>
      </c>
      <c r="W43" s="53">
        <v>188</v>
      </c>
      <c r="X43" s="53">
        <v>-9</v>
      </c>
      <c r="Y43" s="53" t="s">
        <v>193</v>
      </c>
      <c r="Z43" s="204" t="s">
        <v>341</v>
      </c>
      <c r="AA43" s="53">
        <v>67</v>
      </c>
      <c r="AB43" s="53">
        <v>-77</v>
      </c>
      <c r="AC43" s="53" t="s">
        <v>65</v>
      </c>
      <c r="AD43" s="53" t="s">
        <v>66</v>
      </c>
      <c r="AE43" s="53" t="s">
        <v>309</v>
      </c>
      <c r="AF43" s="72"/>
      <c r="AG43" s="100"/>
      <c r="AH43" s="186">
        <v>297.39999999999998</v>
      </c>
      <c r="AI43" s="186">
        <v>67</v>
      </c>
      <c r="AJ43" s="7">
        <v>174.5</v>
      </c>
      <c r="AK43" s="7">
        <v>52.8</v>
      </c>
      <c r="AL43" s="53">
        <v>197.6</v>
      </c>
      <c r="AM43" s="53">
        <v>-32.700000000000003</v>
      </c>
      <c r="AN43" s="53"/>
      <c r="AO43" s="53">
        <f>58.7 +180</f>
        <v>238.7</v>
      </c>
      <c r="AP43" s="53">
        <v>49.6</v>
      </c>
      <c r="AQ43" s="53">
        <v>-68.8</v>
      </c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</row>
    <row r="44" spans="1:65" s="211" customFormat="1">
      <c r="A44" s="53" t="s">
        <v>1126</v>
      </c>
      <c r="B44" s="53">
        <v>31.2</v>
      </c>
      <c r="C44" s="205">
        <v>163.6</v>
      </c>
      <c r="D44" s="53">
        <v>7.5149999999999997</v>
      </c>
      <c r="E44" s="53">
        <v>21.4</v>
      </c>
      <c r="F44" s="53">
        <v>550</v>
      </c>
      <c r="G44" s="53" t="s">
        <v>1144</v>
      </c>
      <c r="H44" s="53" t="s">
        <v>137</v>
      </c>
      <c r="I44" s="71"/>
      <c r="J44" s="53"/>
      <c r="K44" s="53"/>
      <c r="L44" s="71" t="s">
        <v>354</v>
      </c>
      <c r="M44" s="53">
        <v>161</v>
      </c>
      <c r="N44" s="53">
        <v>3</v>
      </c>
      <c r="O44" s="71"/>
      <c r="P44" s="53"/>
      <c r="Q44" s="53"/>
      <c r="R44" s="71" t="s">
        <v>1145</v>
      </c>
      <c r="S44" s="53">
        <v>73</v>
      </c>
      <c r="T44" s="53">
        <v>9</v>
      </c>
      <c r="U44" s="53">
        <v>4</v>
      </c>
      <c r="V44" s="53" t="s">
        <v>1146</v>
      </c>
      <c r="W44" s="53">
        <v>224</v>
      </c>
      <c r="X44" s="53">
        <v>-2</v>
      </c>
      <c r="Y44" s="53"/>
      <c r="Z44" s="204" t="s">
        <v>244</v>
      </c>
      <c r="AA44" s="53">
        <v>100</v>
      </c>
      <c r="AB44" s="53">
        <v>-77</v>
      </c>
      <c r="AC44" s="53" t="s">
        <v>159</v>
      </c>
      <c r="AD44" s="53" t="s">
        <v>66</v>
      </c>
      <c r="AE44" s="53" t="s">
        <v>114</v>
      </c>
      <c r="AF44" s="72"/>
      <c r="AG44" s="100"/>
      <c r="AH44" s="186">
        <v>297.39999999999998</v>
      </c>
      <c r="AI44" s="186">
        <v>67</v>
      </c>
      <c r="AJ44" s="7">
        <v>242.5</v>
      </c>
      <c r="AK44" s="7">
        <v>60.2</v>
      </c>
      <c r="AL44" s="53">
        <v>193.5</v>
      </c>
      <c r="AM44" s="53">
        <v>-26.3</v>
      </c>
      <c r="AN44" s="53"/>
      <c r="AO44" s="53">
        <f>66.4+180</f>
        <v>246.4</v>
      </c>
      <c r="AP44" s="53">
        <v>50.7</v>
      </c>
      <c r="AQ44" s="53">
        <v>-63.1</v>
      </c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</row>
    <row r="45" spans="1:65" s="212" customFormat="1">
      <c r="A45" s="53" t="s">
        <v>1126</v>
      </c>
      <c r="B45" s="53">
        <v>31.4</v>
      </c>
      <c r="C45" s="205">
        <v>163.6</v>
      </c>
      <c r="D45" s="53">
        <v>8.609</v>
      </c>
      <c r="E45" s="67">
        <v>22.1</v>
      </c>
      <c r="F45" s="53">
        <v>575</v>
      </c>
      <c r="G45" s="53" t="s">
        <v>1147</v>
      </c>
      <c r="H45" s="53" t="s">
        <v>137</v>
      </c>
      <c r="I45" s="71"/>
      <c r="J45" s="53"/>
      <c r="K45" s="53"/>
      <c r="L45" s="71" t="s">
        <v>496</v>
      </c>
      <c r="M45" s="53">
        <v>163</v>
      </c>
      <c r="N45" s="53">
        <v>28</v>
      </c>
      <c r="O45" s="71"/>
      <c r="P45" s="53"/>
      <c r="Q45" s="53"/>
      <c r="R45" s="203" t="s">
        <v>1134</v>
      </c>
      <c r="S45" s="53">
        <v>89</v>
      </c>
      <c r="T45" s="53">
        <v>3</v>
      </c>
      <c r="U45" s="53">
        <v>1</v>
      </c>
      <c r="V45" s="53"/>
      <c r="W45" s="53"/>
      <c r="X45" s="53"/>
      <c r="Y45" s="53"/>
      <c r="Z45" s="53"/>
      <c r="AA45" s="53"/>
      <c r="AB45" s="53"/>
      <c r="AC45" s="53" t="s">
        <v>412</v>
      </c>
      <c r="AD45" s="53"/>
      <c r="AE45" s="53" t="s">
        <v>181</v>
      </c>
      <c r="AF45" s="72"/>
      <c r="AG45" s="100"/>
      <c r="AH45" s="186">
        <v>297.39999999999998</v>
      </c>
      <c r="AI45" s="186">
        <v>67</v>
      </c>
      <c r="AJ45" s="53"/>
      <c r="AK45" s="53"/>
      <c r="AL45" s="53"/>
      <c r="AM45" s="53" t="s">
        <v>69</v>
      </c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</row>
    <row r="46" spans="1:65" s="211" customFormat="1">
      <c r="A46" s="53" t="s">
        <v>1126</v>
      </c>
      <c r="B46" s="53" t="s">
        <v>1148</v>
      </c>
      <c r="C46" s="205">
        <v>163.6</v>
      </c>
      <c r="D46" s="53">
        <v>7.6379999999999999</v>
      </c>
      <c r="E46" s="67"/>
      <c r="F46" s="53">
        <v>680</v>
      </c>
      <c r="G46" s="53">
        <v>690</v>
      </c>
      <c r="H46" s="53" t="s">
        <v>137</v>
      </c>
      <c r="I46" s="71"/>
      <c r="J46" s="53"/>
      <c r="K46" s="53"/>
      <c r="L46" s="71" t="s">
        <v>85</v>
      </c>
      <c r="M46" s="53">
        <v>175</v>
      </c>
      <c r="N46" s="53">
        <v>34</v>
      </c>
      <c r="O46" s="203" t="s">
        <v>1149</v>
      </c>
      <c r="P46" s="53">
        <v>337</v>
      </c>
      <c r="Q46" s="53">
        <v>2</v>
      </c>
      <c r="R46" s="71" t="s">
        <v>1150</v>
      </c>
      <c r="S46" s="53">
        <v>83</v>
      </c>
      <c r="T46" s="53">
        <v>7</v>
      </c>
      <c r="U46" s="53">
        <v>1.6</v>
      </c>
      <c r="V46" s="53"/>
      <c r="W46" s="53"/>
      <c r="X46" s="53"/>
      <c r="Y46" s="53" t="s">
        <v>1151</v>
      </c>
      <c r="Z46" s="53"/>
      <c r="AA46" s="53"/>
      <c r="AB46" s="53"/>
      <c r="AC46" s="53" t="s">
        <v>412</v>
      </c>
      <c r="AD46" s="53"/>
      <c r="AE46" s="53" t="s">
        <v>181</v>
      </c>
      <c r="AF46" s="72"/>
      <c r="AG46" s="100"/>
      <c r="AH46" s="186">
        <v>297.39999999999998</v>
      </c>
      <c r="AI46" s="186">
        <v>67</v>
      </c>
      <c r="AJ46" s="53"/>
      <c r="AK46" s="53"/>
      <c r="AL46" s="53"/>
      <c r="AM46" s="53" t="s">
        <v>69</v>
      </c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</row>
    <row r="47" spans="1:65" s="210" customFormat="1">
      <c r="A47" s="53" t="s">
        <v>1126</v>
      </c>
      <c r="B47" s="53">
        <v>32.1</v>
      </c>
      <c r="C47" s="205">
        <v>168.13373920788138</v>
      </c>
      <c r="D47" s="53">
        <v>5.992</v>
      </c>
      <c r="E47" s="53">
        <v>30.5</v>
      </c>
      <c r="F47" s="53">
        <v>550</v>
      </c>
      <c r="G47" s="53" t="s">
        <v>1152</v>
      </c>
      <c r="H47" s="53" t="s">
        <v>137</v>
      </c>
      <c r="I47" s="71"/>
      <c r="J47" s="53"/>
      <c r="K47" s="53"/>
      <c r="L47" s="71" t="s">
        <v>602</v>
      </c>
      <c r="M47" s="53">
        <v>175</v>
      </c>
      <c r="N47" s="53">
        <v>20</v>
      </c>
      <c r="O47" s="71"/>
      <c r="P47" s="53"/>
      <c r="Q47" s="53"/>
      <c r="R47" s="203" t="s">
        <v>1143</v>
      </c>
      <c r="S47" s="53">
        <v>96</v>
      </c>
      <c r="T47" s="53">
        <v>-10</v>
      </c>
      <c r="U47" s="53">
        <v>1.7</v>
      </c>
      <c r="V47" s="53"/>
      <c r="W47" s="53"/>
      <c r="X47" s="53"/>
      <c r="Y47" s="53" t="s">
        <v>1153</v>
      </c>
      <c r="Z47" s="53"/>
      <c r="AA47" s="53"/>
      <c r="AB47" s="53"/>
      <c r="AC47" s="53" t="s">
        <v>412</v>
      </c>
      <c r="AD47" s="53"/>
      <c r="AE47" s="53" t="s">
        <v>181</v>
      </c>
      <c r="AF47" s="59"/>
      <c r="AG47" s="202"/>
      <c r="AH47" s="186">
        <v>289.39999999999998</v>
      </c>
      <c r="AI47" s="186">
        <v>74</v>
      </c>
      <c r="AJ47" s="53"/>
      <c r="AK47" s="53"/>
      <c r="AL47" s="53"/>
      <c r="AM47" s="53" t="s">
        <v>69</v>
      </c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</row>
    <row r="48" spans="1:65" s="211" customFormat="1">
      <c r="A48" s="53" t="s">
        <v>1126</v>
      </c>
      <c r="B48" s="53">
        <v>32.200000000000003</v>
      </c>
      <c r="C48" s="205">
        <v>168.13373920788138</v>
      </c>
      <c r="D48" s="53">
        <v>6.1749999999999998</v>
      </c>
      <c r="E48" s="53">
        <v>26.5</v>
      </c>
      <c r="F48" s="53">
        <v>500</v>
      </c>
      <c r="G48" s="53" t="s">
        <v>1154</v>
      </c>
      <c r="H48" s="53" t="s">
        <v>137</v>
      </c>
      <c r="I48" s="71"/>
      <c r="J48" s="53"/>
      <c r="K48" s="53"/>
      <c r="L48" s="71"/>
      <c r="M48" s="53"/>
      <c r="N48" s="53"/>
      <c r="O48" s="71"/>
      <c r="P48" s="53"/>
      <c r="Q48" s="53"/>
      <c r="R48" s="53"/>
      <c r="S48" s="53"/>
      <c r="T48" s="53"/>
      <c r="U48" s="53">
        <v>2.5</v>
      </c>
      <c r="V48" s="71" t="s">
        <v>1155</v>
      </c>
      <c r="W48" s="53">
        <v>42</v>
      </c>
      <c r="X48" s="53">
        <v>-12</v>
      </c>
      <c r="Y48" s="53" t="s">
        <v>1156</v>
      </c>
      <c r="Z48" s="204" t="s">
        <v>341</v>
      </c>
      <c r="AA48" s="53">
        <v>259</v>
      </c>
      <c r="AB48" s="53">
        <v>-72</v>
      </c>
      <c r="AC48" s="53" t="s">
        <v>105</v>
      </c>
      <c r="AD48" s="53" t="s">
        <v>106</v>
      </c>
      <c r="AE48" s="53" t="s">
        <v>181</v>
      </c>
      <c r="AF48" s="59"/>
      <c r="AG48" s="202"/>
      <c r="AH48" s="186">
        <v>289.39999999999998</v>
      </c>
      <c r="AI48" s="186">
        <v>74</v>
      </c>
      <c r="AJ48" s="7">
        <v>102</v>
      </c>
      <c r="AK48" s="7">
        <v>-67.7</v>
      </c>
      <c r="AL48" s="53">
        <v>215</v>
      </c>
      <c r="AM48" s="53">
        <v>-6.4</v>
      </c>
      <c r="AN48" s="53"/>
      <c r="AO48" s="53">
        <v>99.4</v>
      </c>
      <c r="AP48" s="53">
        <v>-75.400000000000006</v>
      </c>
      <c r="AQ48" s="53">
        <v>28.3</v>
      </c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</row>
    <row r="49" spans="1:65" s="212" customFormat="1">
      <c r="A49" s="53" t="s">
        <v>1126</v>
      </c>
      <c r="B49" s="53">
        <v>32.299999999999997</v>
      </c>
      <c r="C49" s="205">
        <v>168.13373920788138</v>
      </c>
      <c r="D49" s="53">
        <v>10.039999999999999</v>
      </c>
      <c r="E49" s="53">
        <v>26.6</v>
      </c>
      <c r="F49" s="53">
        <v>500</v>
      </c>
      <c r="G49" s="53" t="s">
        <v>1157</v>
      </c>
      <c r="H49" s="53" t="s">
        <v>137</v>
      </c>
      <c r="I49" s="71"/>
      <c r="J49" s="53"/>
      <c r="K49" s="53"/>
      <c r="L49" s="92"/>
      <c r="M49" s="92"/>
      <c r="N49" s="92"/>
      <c r="O49" s="203" t="s">
        <v>165</v>
      </c>
      <c r="P49" s="53">
        <v>58</v>
      </c>
      <c r="Q49" s="53">
        <v>-22</v>
      </c>
      <c r="R49" s="71" t="s">
        <v>496</v>
      </c>
      <c r="S49" s="53">
        <v>121</v>
      </c>
      <c r="T49" s="53">
        <v>12</v>
      </c>
      <c r="U49" s="53">
        <v>1</v>
      </c>
      <c r="V49" s="203"/>
      <c r="W49" s="53"/>
      <c r="X49" s="53"/>
      <c r="Y49" s="53"/>
      <c r="Z49" s="53"/>
      <c r="AA49" s="53"/>
      <c r="AB49" s="53"/>
      <c r="AC49" s="53" t="s">
        <v>412</v>
      </c>
      <c r="AD49" s="53"/>
      <c r="AE49" s="53" t="s">
        <v>181</v>
      </c>
      <c r="AF49" s="59"/>
      <c r="AG49" s="202"/>
      <c r="AH49" s="186">
        <v>289.39999999999998</v>
      </c>
      <c r="AI49" s="186">
        <v>74</v>
      </c>
      <c r="AJ49" s="7"/>
      <c r="AK49" s="7"/>
      <c r="AL49" s="53"/>
      <c r="AM49" s="53" t="s">
        <v>69</v>
      </c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</row>
    <row r="50" spans="1:65" s="53" customFormat="1">
      <c r="A50" s="53" t="s">
        <v>1126</v>
      </c>
      <c r="B50" s="53">
        <v>32.4</v>
      </c>
      <c r="C50" s="205">
        <v>168.13373920788138</v>
      </c>
      <c r="D50" s="53">
        <v>10.23</v>
      </c>
      <c r="E50" s="53">
        <v>28</v>
      </c>
      <c r="F50" s="53">
        <v>500</v>
      </c>
      <c r="G50" s="53" t="s">
        <v>1158</v>
      </c>
      <c r="H50" s="53" t="s">
        <v>137</v>
      </c>
      <c r="I50" s="71"/>
      <c r="L50" s="71" t="s">
        <v>1159</v>
      </c>
      <c r="M50" s="53">
        <v>157</v>
      </c>
      <c r="N50" s="53">
        <v>41</v>
      </c>
      <c r="O50" s="71"/>
      <c r="U50" s="53">
        <v>1.6</v>
      </c>
      <c r="V50" s="203" t="s">
        <v>1062</v>
      </c>
      <c r="W50" s="53">
        <v>60</v>
      </c>
      <c r="X50" s="53">
        <v>-16</v>
      </c>
      <c r="Y50" s="53" t="s">
        <v>1160</v>
      </c>
      <c r="Z50" s="204" t="s">
        <v>222</v>
      </c>
      <c r="AA50" s="53">
        <v>92</v>
      </c>
      <c r="AB50" s="53">
        <v>71</v>
      </c>
      <c r="AC50" s="53" t="s">
        <v>105</v>
      </c>
      <c r="AD50" s="53" t="s">
        <v>106</v>
      </c>
      <c r="AE50" s="53" t="s">
        <v>107</v>
      </c>
      <c r="AF50" s="59"/>
      <c r="AG50" s="202"/>
      <c r="AH50" s="186">
        <v>289.39999999999998</v>
      </c>
      <c r="AI50" s="186">
        <v>74</v>
      </c>
      <c r="AJ50" s="7">
        <v>115.2</v>
      </c>
      <c r="AK50" s="7">
        <v>-51</v>
      </c>
      <c r="AL50" s="53">
        <v>37.799999999999997</v>
      </c>
      <c r="AM50" s="53">
        <v>9.6</v>
      </c>
      <c r="AO50" s="53">
        <v>78.5</v>
      </c>
      <c r="AP50" s="53">
        <v>-77.400000000000006</v>
      </c>
      <c r="AQ50" s="53">
        <v>33.6</v>
      </c>
    </row>
    <row r="51" spans="1:65" s="211" customFormat="1">
      <c r="A51" s="53" t="s">
        <v>1126</v>
      </c>
      <c r="B51" s="53" t="s">
        <v>1161</v>
      </c>
      <c r="C51" s="205">
        <v>168.13373920788138</v>
      </c>
      <c r="D51" s="53">
        <v>7.9820000000000002</v>
      </c>
      <c r="E51" s="53"/>
      <c r="F51" s="53" t="s">
        <v>1092</v>
      </c>
      <c r="G51" s="53">
        <v>690</v>
      </c>
      <c r="H51" s="53" t="s">
        <v>137</v>
      </c>
      <c r="I51" s="71"/>
      <c r="J51" s="53"/>
      <c r="K51" s="53"/>
      <c r="L51" s="71" t="s">
        <v>1162</v>
      </c>
      <c r="M51" s="53">
        <v>167</v>
      </c>
      <c r="N51" s="53">
        <v>23</v>
      </c>
      <c r="O51" s="71"/>
      <c r="P51" s="53"/>
      <c r="Q51" s="53"/>
      <c r="R51" s="71" t="s">
        <v>1163</v>
      </c>
      <c r="S51" s="53">
        <v>107</v>
      </c>
      <c r="T51" s="53">
        <v>-16</v>
      </c>
      <c r="U51" s="53">
        <v>1.2</v>
      </c>
      <c r="V51" s="53" t="s">
        <v>1164</v>
      </c>
      <c r="W51" s="53">
        <v>67</v>
      </c>
      <c r="X51" s="53">
        <v>-18</v>
      </c>
      <c r="Y51" s="53"/>
      <c r="Z51" s="204" t="s">
        <v>1165</v>
      </c>
      <c r="AA51" s="53">
        <v>101</v>
      </c>
      <c r="AB51" s="53">
        <v>70</v>
      </c>
      <c r="AC51" s="53" t="s">
        <v>65</v>
      </c>
      <c r="AD51" s="53" t="s">
        <v>106</v>
      </c>
      <c r="AE51" s="53" t="s">
        <v>168</v>
      </c>
      <c r="AF51" s="59"/>
      <c r="AG51" s="202"/>
      <c r="AH51" s="186">
        <v>289.39999999999998</v>
      </c>
      <c r="AI51" s="186">
        <v>74</v>
      </c>
      <c r="AJ51" s="53">
        <v>119.1</v>
      </c>
      <c r="AK51" s="53">
        <v>-44.6</v>
      </c>
      <c r="AL51" s="53">
        <v>39.700000000000003</v>
      </c>
      <c r="AM51" s="53">
        <v>12.2</v>
      </c>
      <c r="AN51" s="53"/>
      <c r="AO51" s="53">
        <v>62.7</v>
      </c>
      <c r="AP51" s="53">
        <v>-76.8</v>
      </c>
      <c r="AQ51" s="53">
        <v>38</v>
      </c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</row>
    <row r="52" spans="1:65">
      <c r="A52" s="53" t="s">
        <v>1126</v>
      </c>
      <c r="B52" s="53">
        <v>33.1</v>
      </c>
      <c r="C52" s="205">
        <v>170.54134060347934</v>
      </c>
      <c r="D52" s="141">
        <v>0.67</v>
      </c>
      <c r="E52" s="53">
        <v>31.5</v>
      </c>
      <c r="F52" s="53">
        <v>520</v>
      </c>
      <c r="G52" s="53" t="s">
        <v>1166</v>
      </c>
      <c r="H52" s="53" t="s">
        <v>137</v>
      </c>
      <c r="I52" s="71" t="s">
        <v>321</v>
      </c>
      <c r="J52" s="53">
        <v>6</v>
      </c>
      <c r="K52" s="53">
        <v>76</v>
      </c>
      <c r="O52" s="203" t="s">
        <v>158</v>
      </c>
      <c r="P52" s="53">
        <v>144</v>
      </c>
      <c r="Q52" s="53">
        <v>-52</v>
      </c>
      <c r="R52" s="71"/>
      <c r="S52" s="53"/>
      <c r="T52" s="53"/>
      <c r="U52" s="53">
        <v>2</v>
      </c>
      <c r="V52" s="53"/>
      <c r="W52" s="53"/>
      <c r="X52" s="53"/>
      <c r="Y52" s="53"/>
      <c r="Z52" s="53"/>
      <c r="AA52" s="53"/>
      <c r="AB52" s="53"/>
      <c r="AC52" s="53" t="s">
        <v>63</v>
      </c>
      <c r="AD52" s="53"/>
      <c r="AE52" s="53" t="s">
        <v>181</v>
      </c>
      <c r="AF52" s="201"/>
      <c r="AG52" s="202"/>
      <c r="AH52" s="186">
        <v>282.5</v>
      </c>
      <c r="AI52" s="186">
        <v>57.875</v>
      </c>
      <c r="AJ52" s="53"/>
      <c r="AK52" s="53"/>
      <c r="AL52" s="53"/>
      <c r="AM52" s="53" t="s">
        <v>69</v>
      </c>
    </row>
    <row r="53" spans="1:65" s="210" customFormat="1">
      <c r="A53" s="53" t="s">
        <v>1126</v>
      </c>
      <c r="B53" s="53">
        <v>34.1</v>
      </c>
      <c r="C53" s="205">
        <v>173.87743585434296</v>
      </c>
      <c r="D53" s="53">
        <v>7.1749999999999998</v>
      </c>
      <c r="E53" s="53">
        <v>24.4</v>
      </c>
      <c r="F53" s="53">
        <v>600</v>
      </c>
      <c r="G53" s="53" t="s">
        <v>1167</v>
      </c>
      <c r="H53" s="53" t="s">
        <v>137</v>
      </c>
      <c r="I53" s="71"/>
      <c r="J53" s="53"/>
      <c r="K53" s="53"/>
      <c r="L53" s="71"/>
      <c r="M53" s="53"/>
      <c r="N53" s="53"/>
      <c r="O53" s="71"/>
      <c r="P53" s="53"/>
      <c r="Q53" s="53"/>
      <c r="R53" s="71" t="s">
        <v>1162</v>
      </c>
      <c r="S53" s="53">
        <v>279</v>
      </c>
      <c r="T53" s="53">
        <v>13</v>
      </c>
      <c r="U53" s="53">
        <v>2</v>
      </c>
      <c r="V53" s="53" t="s">
        <v>1168</v>
      </c>
      <c r="W53" s="53">
        <v>210</v>
      </c>
      <c r="X53" s="53">
        <v>-13</v>
      </c>
      <c r="Y53" s="53" t="s">
        <v>485</v>
      </c>
      <c r="Z53" s="204" t="s">
        <v>341</v>
      </c>
      <c r="AA53" s="53">
        <v>345</v>
      </c>
      <c r="AB53" s="53">
        <v>-74</v>
      </c>
      <c r="AC53" s="53" t="s">
        <v>167</v>
      </c>
      <c r="AD53" s="53" t="s">
        <v>66</v>
      </c>
      <c r="AE53" s="53" t="s">
        <v>309</v>
      </c>
      <c r="AF53" s="72"/>
      <c r="AG53" s="100"/>
      <c r="AH53" s="186">
        <v>274</v>
      </c>
      <c r="AI53" s="186">
        <v>40</v>
      </c>
      <c r="AJ53" s="7">
        <v>211.6</v>
      </c>
      <c r="AK53" s="7">
        <v>23</v>
      </c>
      <c r="AL53" s="53">
        <v>196.1</v>
      </c>
      <c r="AM53" s="53">
        <v>-64.7</v>
      </c>
      <c r="AN53" s="53">
        <v>-78.2</v>
      </c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</row>
    <row r="54" spans="1:65" s="212" customFormat="1">
      <c r="A54" s="53" t="s">
        <v>1126</v>
      </c>
      <c r="B54" s="53">
        <v>34.200000000000003</v>
      </c>
      <c r="C54" s="205">
        <v>173.87743585434296</v>
      </c>
      <c r="D54" s="53">
        <v>3.718</v>
      </c>
      <c r="E54" s="53">
        <v>21.9</v>
      </c>
      <c r="F54" s="53">
        <v>550</v>
      </c>
      <c r="G54" s="53" t="s">
        <v>1169</v>
      </c>
      <c r="H54" s="53" t="s">
        <v>137</v>
      </c>
      <c r="I54" s="71"/>
      <c r="J54" s="53"/>
      <c r="K54" s="53"/>
      <c r="L54" s="71"/>
      <c r="M54" s="53"/>
      <c r="N54" s="53"/>
      <c r="O54" s="71"/>
      <c r="P54" s="53"/>
      <c r="Q54" s="53"/>
      <c r="R54" s="71" t="s">
        <v>354</v>
      </c>
      <c r="S54" s="53">
        <v>100</v>
      </c>
      <c r="T54" s="53">
        <v>-41</v>
      </c>
      <c r="U54" s="53">
        <v>3</v>
      </c>
      <c r="V54" s="53" t="s">
        <v>1170</v>
      </c>
      <c r="W54" s="53">
        <v>207</v>
      </c>
      <c r="X54" s="53">
        <v>-13</v>
      </c>
      <c r="Y54" s="99" t="s">
        <v>1171</v>
      </c>
      <c r="Z54" s="204" t="s">
        <v>244</v>
      </c>
      <c r="AA54" s="53">
        <v>8</v>
      </c>
      <c r="AB54" s="53">
        <v>-75</v>
      </c>
      <c r="AC54" s="53" t="s">
        <v>167</v>
      </c>
      <c r="AD54" s="53" t="s">
        <v>66</v>
      </c>
      <c r="AE54" s="53" t="s">
        <v>309</v>
      </c>
      <c r="AF54" s="72"/>
      <c r="AG54" s="100"/>
      <c r="AH54" s="186">
        <v>274</v>
      </c>
      <c r="AI54" s="186">
        <v>40</v>
      </c>
      <c r="AJ54" s="7">
        <v>208.6</v>
      </c>
      <c r="AK54" s="7">
        <v>23.8</v>
      </c>
      <c r="AL54" s="53">
        <v>181.6</v>
      </c>
      <c r="AM54" s="53">
        <v>-64.900000000000006</v>
      </c>
      <c r="AN54" s="53">
        <v>-75.400000000000006</v>
      </c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</row>
    <row r="55" spans="1:65" s="211" customFormat="1">
      <c r="A55" s="53" t="s">
        <v>1126</v>
      </c>
      <c r="B55" s="53" t="s">
        <v>1172</v>
      </c>
      <c r="C55" s="205">
        <v>173.87743585434296</v>
      </c>
      <c r="D55" s="53">
        <v>5.46</v>
      </c>
      <c r="E55" s="53"/>
      <c r="F55" s="53" t="s">
        <v>1092</v>
      </c>
      <c r="G55" s="53">
        <v>690</v>
      </c>
      <c r="H55" s="53" t="s">
        <v>137</v>
      </c>
      <c r="I55" s="71" t="s">
        <v>354</v>
      </c>
      <c r="J55" s="53">
        <v>52</v>
      </c>
      <c r="K55" s="53">
        <v>56</v>
      </c>
      <c r="L55" s="71"/>
      <c r="M55" s="53"/>
      <c r="N55" s="53"/>
      <c r="O55" s="71"/>
      <c r="P55" s="53"/>
      <c r="Q55" s="53"/>
      <c r="R55" s="71"/>
      <c r="S55" s="53"/>
      <c r="T55" s="53"/>
      <c r="U55" s="53"/>
      <c r="V55" s="53" t="s">
        <v>1173</v>
      </c>
      <c r="W55" s="53">
        <v>221</v>
      </c>
      <c r="X55" s="53">
        <v>-12</v>
      </c>
      <c r="Y55" s="53" t="s">
        <v>1174</v>
      </c>
      <c r="Z55" s="53"/>
      <c r="AA55" s="53"/>
      <c r="AB55" s="53"/>
      <c r="AC55" s="53" t="s">
        <v>469</v>
      </c>
      <c r="AD55" s="53"/>
      <c r="AE55" s="53" t="s">
        <v>309</v>
      </c>
      <c r="AF55" s="72"/>
      <c r="AG55" s="100"/>
      <c r="AH55" s="186">
        <v>274</v>
      </c>
      <c r="AI55" s="186">
        <v>40</v>
      </c>
      <c r="AJ55" s="53">
        <v>222.8</v>
      </c>
      <c r="AK55" s="53">
        <v>20.100000000000001</v>
      </c>
      <c r="AL55" s="53"/>
      <c r="AM55" s="53"/>
      <c r="AN55" s="53">
        <v>-85.7</v>
      </c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</row>
    <row r="56" spans="1:65" s="210" customFormat="1">
      <c r="A56" s="53" t="s">
        <v>1126</v>
      </c>
      <c r="B56" s="53">
        <v>35.1</v>
      </c>
      <c r="C56" s="205">
        <v>177.54468409740355</v>
      </c>
      <c r="D56" s="53">
        <v>6.4509999999999996</v>
      </c>
      <c r="E56" s="53">
        <v>25.2</v>
      </c>
      <c r="F56" s="53">
        <v>600</v>
      </c>
      <c r="G56" s="53" t="s">
        <v>1175</v>
      </c>
      <c r="H56" s="53" t="s">
        <v>137</v>
      </c>
      <c r="I56" s="71"/>
      <c r="J56" s="53"/>
      <c r="K56" s="53"/>
      <c r="L56" s="71" t="s">
        <v>496</v>
      </c>
      <c r="M56" s="53">
        <v>184</v>
      </c>
      <c r="N56" s="53">
        <v>24</v>
      </c>
      <c r="O56" s="71"/>
      <c r="P56" s="53"/>
      <c r="Q56" s="53"/>
      <c r="R56" s="71"/>
      <c r="S56" s="53"/>
      <c r="T56" s="53"/>
      <c r="U56" s="53">
        <v>10</v>
      </c>
      <c r="V56" s="53" t="s">
        <v>1176</v>
      </c>
      <c r="W56" s="53">
        <v>46</v>
      </c>
      <c r="X56" s="53">
        <v>-4</v>
      </c>
      <c r="Y56" s="53" t="s">
        <v>1177</v>
      </c>
      <c r="Z56" s="53"/>
      <c r="AA56" s="53"/>
      <c r="AB56" s="53"/>
      <c r="AC56" s="53" t="s">
        <v>113</v>
      </c>
      <c r="AD56" s="53"/>
      <c r="AE56" s="53" t="s">
        <v>67</v>
      </c>
      <c r="AF56" s="59"/>
      <c r="AG56" s="69"/>
      <c r="AH56" s="186">
        <v>274</v>
      </c>
      <c r="AI56" s="186">
        <v>40</v>
      </c>
      <c r="AJ56" s="7">
        <v>55.9</v>
      </c>
      <c r="AK56" s="7">
        <v>-32</v>
      </c>
      <c r="AL56" s="53"/>
      <c r="AM56" s="53"/>
      <c r="AN56" s="53">
        <v>77.7</v>
      </c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</row>
    <row r="57" spans="1:65" s="211" customFormat="1">
      <c r="A57" s="53" t="s">
        <v>1126</v>
      </c>
      <c r="B57" s="53">
        <v>35.200000000000003</v>
      </c>
      <c r="C57" s="205">
        <v>177.54468409740355</v>
      </c>
      <c r="D57" s="53">
        <v>7.556</v>
      </c>
      <c r="E57" s="53">
        <v>23.3</v>
      </c>
      <c r="F57" s="53">
        <v>600</v>
      </c>
      <c r="G57" s="53" t="s">
        <v>1178</v>
      </c>
      <c r="H57" s="53" t="s">
        <v>137</v>
      </c>
      <c r="I57" s="71"/>
      <c r="J57" s="53"/>
      <c r="K57" s="53"/>
      <c r="L57" s="71"/>
      <c r="M57" s="53"/>
      <c r="N57" s="53"/>
      <c r="O57" s="203" t="s">
        <v>1149</v>
      </c>
      <c r="P57" s="53">
        <v>272</v>
      </c>
      <c r="Q57" s="53">
        <v>-25</v>
      </c>
      <c r="R57" s="71" t="s">
        <v>1179</v>
      </c>
      <c r="S57" s="53">
        <v>71</v>
      </c>
      <c r="T57" s="53">
        <v>-7</v>
      </c>
      <c r="U57" s="53">
        <v>7</v>
      </c>
      <c r="V57" s="53" t="s">
        <v>628</v>
      </c>
      <c r="W57" s="53">
        <v>48</v>
      </c>
      <c r="X57" s="53">
        <v>3</v>
      </c>
      <c r="Y57" s="204"/>
      <c r="Z57" s="53"/>
      <c r="AA57" s="53"/>
      <c r="AB57" s="53"/>
      <c r="AC57" s="53" t="s">
        <v>113</v>
      </c>
      <c r="AD57" s="53"/>
      <c r="AE57" s="53" t="s">
        <v>556</v>
      </c>
      <c r="AF57" s="59"/>
      <c r="AG57" s="69"/>
      <c r="AH57" s="186">
        <v>274</v>
      </c>
      <c r="AI57" s="186">
        <v>40</v>
      </c>
      <c r="AJ57" s="7">
        <v>53.9</v>
      </c>
      <c r="AK57" s="7">
        <v>-24.9</v>
      </c>
      <c r="AL57" s="53"/>
      <c r="AM57" s="53"/>
      <c r="AN57" s="53">
        <v>79.7</v>
      </c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</row>
    <row r="58" spans="1:65" s="212" customFormat="1">
      <c r="A58" s="53" t="s">
        <v>1126</v>
      </c>
      <c r="B58" s="53">
        <v>35.4</v>
      </c>
      <c r="C58" s="205">
        <v>177.54468409740355</v>
      </c>
      <c r="D58" s="53">
        <v>7.5549999999999997</v>
      </c>
      <c r="E58" s="53">
        <v>24.9</v>
      </c>
      <c r="F58" s="53">
        <v>575</v>
      </c>
      <c r="G58" s="53" t="s">
        <v>1180</v>
      </c>
      <c r="H58" s="53" t="s">
        <v>137</v>
      </c>
      <c r="I58" s="71"/>
      <c r="J58" s="53"/>
      <c r="K58" s="53"/>
      <c r="L58" s="71"/>
      <c r="M58" s="53"/>
      <c r="N58" s="53"/>
      <c r="O58" s="71"/>
      <c r="P58" s="53"/>
      <c r="Q58" s="53"/>
      <c r="R58" s="71"/>
      <c r="S58" s="53"/>
      <c r="T58" s="53"/>
      <c r="U58" s="53">
        <v>4.0999999999999996</v>
      </c>
      <c r="V58" s="204" t="s">
        <v>1165</v>
      </c>
      <c r="W58" s="53">
        <v>47</v>
      </c>
      <c r="X58" s="53">
        <v>-13</v>
      </c>
      <c r="Y58" s="53" t="s">
        <v>1181</v>
      </c>
      <c r="Z58" s="204" t="s">
        <v>341</v>
      </c>
      <c r="AA58" s="53">
        <v>147</v>
      </c>
      <c r="AB58" s="53">
        <v>-36</v>
      </c>
      <c r="AC58" s="53" t="s">
        <v>113</v>
      </c>
      <c r="AD58" s="53" t="s">
        <v>66</v>
      </c>
      <c r="AE58" s="53" t="s">
        <v>168</v>
      </c>
      <c r="AF58" s="59"/>
      <c r="AG58" s="69"/>
      <c r="AH58" s="186">
        <v>274</v>
      </c>
      <c r="AI58" s="186">
        <v>40</v>
      </c>
      <c r="AJ58" s="7">
        <v>62.9</v>
      </c>
      <c r="AK58" s="7">
        <v>-39.1</v>
      </c>
      <c r="AL58" s="53">
        <v>154.80000000000001</v>
      </c>
      <c r="AM58" s="53">
        <v>-2</v>
      </c>
      <c r="AN58" s="53">
        <v>70.099999999999994</v>
      </c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</row>
    <row r="59" spans="1:65" s="211" customFormat="1">
      <c r="A59" s="53" t="s">
        <v>1126</v>
      </c>
      <c r="B59" s="53" t="s">
        <v>1182</v>
      </c>
      <c r="C59" s="205">
        <v>177.54468409740355</v>
      </c>
      <c r="D59" s="53">
        <v>6.8920000000000003</v>
      </c>
      <c r="E59" s="53"/>
      <c r="F59" s="53" t="s">
        <v>1092</v>
      </c>
      <c r="G59" s="53">
        <v>690</v>
      </c>
      <c r="H59" s="53" t="s">
        <v>137</v>
      </c>
      <c r="I59" s="71"/>
      <c r="J59" s="53"/>
      <c r="K59" s="53"/>
      <c r="L59" s="71"/>
      <c r="M59" s="53"/>
      <c r="N59" s="53"/>
      <c r="O59" s="71"/>
      <c r="P59" s="53"/>
      <c r="Q59" s="53"/>
      <c r="R59" s="71" t="s">
        <v>1183</v>
      </c>
      <c r="S59" s="53">
        <v>70</v>
      </c>
      <c r="T59" s="53">
        <v>-32</v>
      </c>
      <c r="U59" s="53">
        <v>1.7</v>
      </c>
      <c r="V59" s="53" t="s">
        <v>1093</v>
      </c>
      <c r="W59" s="53">
        <v>51</v>
      </c>
      <c r="X59" s="53">
        <v>-19</v>
      </c>
      <c r="Y59" s="53" t="s">
        <v>1184</v>
      </c>
      <c r="Z59" s="204" t="s">
        <v>245</v>
      </c>
      <c r="AA59" s="53">
        <v>124</v>
      </c>
      <c r="AB59" s="53">
        <v>39</v>
      </c>
      <c r="AC59" s="53" t="s">
        <v>469</v>
      </c>
      <c r="AD59" s="53" t="s">
        <v>66</v>
      </c>
      <c r="AE59" s="53" t="s">
        <v>168</v>
      </c>
      <c r="AF59" s="59"/>
      <c r="AG59" s="69"/>
      <c r="AH59" s="186">
        <v>274</v>
      </c>
      <c r="AI59" s="186">
        <v>40</v>
      </c>
      <c r="AJ59" s="53">
        <v>71.599999999999994</v>
      </c>
      <c r="AK59" s="53">
        <v>-41.6</v>
      </c>
      <c r="AL59" s="53">
        <v>85</v>
      </c>
      <c r="AM59" s="53">
        <v>47</v>
      </c>
      <c r="AN59" s="53">
        <v>61.9</v>
      </c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</row>
    <row r="60" spans="1:65" s="210" customFormat="1">
      <c r="A60" s="53" t="s">
        <v>1126</v>
      </c>
      <c r="B60" s="53">
        <v>36.1</v>
      </c>
      <c r="C60" s="205">
        <v>179.38691137367178</v>
      </c>
      <c r="D60" s="53">
        <v>0.42199999999999999</v>
      </c>
      <c r="E60" s="53">
        <v>22.2</v>
      </c>
      <c r="F60" s="53">
        <v>600</v>
      </c>
      <c r="G60" s="53" t="s">
        <v>1185</v>
      </c>
      <c r="H60" s="53" t="s">
        <v>137</v>
      </c>
      <c r="I60" s="71"/>
      <c r="J60" s="53"/>
      <c r="K60" s="53"/>
      <c r="L60" s="71"/>
      <c r="M60" s="53"/>
      <c r="N60" s="53"/>
      <c r="O60" s="71"/>
      <c r="P60" s="53"/>
      <c r="Q60" s="53"/>
      <c r="R60" s="71"/>
      <c r="S60" s="53"/>
      <c r="T60" s="53"/>
      <c r="U60" s="53">
        <v>3</v>
      </c>
      <c r="V60" s="204" t="s">
        <v>1143</v>
      </c>
      <c r="W60" s="53">
        <v>5</v>
      </c>
      <c r="X60" s="53">
        <v>0</v>
      </c>
      <c r="Y60" s="53" t="s">
        <v>1186</v>
      </c>
      <c r="Z60" s="204" t="s">
        <v>1165</v>
      </c>
      <c r="AA60" s="53">
        <v>96</v>
      </c>
      <c r="AB60" s="53">
        <v>58</v>
      </c>
      <c r="AC60" s="53" t="s">
        <v>65</v>
      </c>
      <c r="AD60" s="53" t="s">
        <v>66</v>
      </c>
      <c r="AE60" s="53" t="s">
        <v>168</v>
      </c>
      <c r="AF60" s="59"/>
      <c r="AG60" s="69"/>
      <c r="AH60" s="186">
        <v>267.39999999999998</v>
      </c>
      <c r="AI60" s="186">
        <v>37</v>
      </c>
      <c r="AJ60" s="7">
        <v>6.9</v>
      </c>
      <c r="AK60" s="7">
        <v>-36.6</v>
      </c>
      <c r="AL60" s="53">
        <v>46.9</v>
      </c>
      <c r="AM60" s="53">
        <v>46.5</v>
      </c>
      <c r="AN60" s="53"/>
      <c r="AO60" s="53">
        <v>42.5</v>
      </c>
      <c r="AP60" s="53">
        <v>-43.4</v>
      </c>
      <c r="AQ60" s="53">
        <v>79.2</v>
      </c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</row>
    <row r="61" spans="1:65" s="211" customFormat="1">
      <c r="A61" s="53" t="s">
        <v>1126</v>
      </c>
      <c r="B61" s="53">
        <v>36.200000000000003</v>
      </c>
      <c r="C61" s="205">
        <v>179.38691137367178</v>
      </c>
      <c r="D61" s="53">
        <v>1.893</v>
      </c>
      <c r="E61" s="53">
        <v>22.3</v>
      </c>
      <c r="F61" s="53">
        <v>630</v>
      </c>
      <c r="G61" s="53" t="s">
        <v>1187</v>
      </c>
      <c r="H61" s="53" t="s">
        <v>137</v>
      </c>
      <c r="I61" s="71" t="s">
        <v>1162</v>
      </c>
      <c r="J61" s="53">
        <v>327</v>
      </c>
      <c r="K61" s="53">
        <v>62</v>
      </c>
      <c r="L61" s="71"/>
      <c r="M61" s="53"/>
      <c r="N61" s="53"/>
      <c r="O61" s="71"/>
      <c r="P61" s="53"/>
      <c r="Q61" s="53"/>
      <c r="R61" s="71"/>
      <c r="S61" s="53"/>
      <c r="T61" s="53"/>
      <c r="U61" s="53">
        <v>3.5</v>
      </c>
      <c r="V61" s="53" t="s">
        <v>1188</v>
      </c>
      <c r="W61" s="53">
        <v>54</v>
      </c>
      <c r="X61" s="53">
        <v>-3</v>
      </c>
      <c r="Y61" s="53"/>
      <c r="Z61" s="204" t="s">
        <v>341</v>
      </c>
      <c r="AA61" s="53">
        <v>280</v>
      </c>
      <c r="AB61" s="53">
        <v>-19</v>
      </c>
      <c r="AC61" s="53" t="s">
        <v>167</v>
      </c>
      <c r="AD61" s="53" t="s">
        <v>66</v>
      </c>
      <c r="AE61" s="53" t="s">
        <v>67</v>
      </c>
      <c r="AF61" s="59"/>
      <c r="AG61" s="69"/>
      <c r="AH61" s="186">
        <v>267.39999999999998</v>
      </c>
      <c r="AI61" s="186">
        <v>37</v>
      </c>
      <c r="AJ61" s="7">
        <v>61.3</v>
      </c>
      <c r="AK61" s="7">
        <v>-21.9</v>
      </c>
      <c r="AL61" s="53">
        <v>265.5</v>
      </c>
      <c r="AM61" s="53">
        <v>-22.6</v>
      </c>
      <c r="AN61" s="53">
        <v>72.3</v>
      </c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</row>
    <row r="62" spans="1:65" s="212" customFormat="1">
      <c r="A62" s="53" t="s">
        <v>1126</v>
      </c>
      <c r="B62" s="53">
        <v>36.299999999999997</v>
      </c>
      <c r="C62" s="205">
        <v>179.38691137367178</v>
      </c>
      <c r="D62" s="53">
        <v>1.718</v>
      </c>
      <c r="E62" s="53">
        <v>14.9</v>
      </c>
      <c r="F62" s="53">
        <v>575</v>
      </c>
      <c r="G62" s="53" t="s">
        <v>1189</v>
      </c>
      <c r="H62" s="92" t="s">
        <v>137</v>
      </c>
      <c r="I62" s="92"/>
      <c r="J62" s="92"/>
      <c r="K62" s="92"/>
      <c r="L62" s="92"/>
      <c r="M62" s="92"/>
      <c r="N62" s="92"/>
      <c r="O62" s="111"/>
      <c r="P62" s="92"/>
      <c r="Q62" s="92"/>
      <c r="R62" s="92"/>
      <c r="S62" s="92"/>
      <c r="T62" s="92"/>
      <c r="U62" s="92">
        <v>1.4</v>
      </c>
      <c r="V62" s="92" t="s">
        <v>1190</v>
      </c>
      <c r="W62" s="92">
        <v>29</v>
      </c>
      <c r="X62" s="92">
        <v>31</v>
      </c>
      <c r="Y62" s="92" t="s">
        <v>1191</v>
      </c>
      <c r="Z62" s="213" t="s">
        <v>1192</v>
      </c>
      <c r="AA62" s="92">
        <v>205</v>
      </c>
      <c r="AB62" s="92">
        <v>59</v>
      </c>
      <c r="AC62" s="92" t="s">
        <v>65</v>
      </c>
      <c r="AD62" s="92" t="s">
        <v>87</v>
      </c>
      <c r="AE62" s="92" t="s">
        <v>67</v>
      </c>
      <c r="AF62" s="106"/>
      <c r="AG62" s="214"/>
      <c r="AH62" s="186">
        <v>267.39999999999998</v>
      </c>
      <c r="AI62" s="186">
        <v>37</v>
      </c>
      <c r="AJ62" s="7">
        <v>24.1</v>
      </c>
      <c r="AK62" s="7">
        <v>-1.6</v>
      </c>
      <c r="AL62" s="53">
        <v>304.13</v>
      </c>
      <c r="AM62" s="53">
        <v>60.87</v>
      </c>
      <c r="AN62" s="53"/>
      <c r="AO62" s="53">
        <v>28.4</v>
      </c>
      <c r="AP62" s="53">
        <v>-3.2</v>
      </c>
      <c r="AQ62" s="53">
        <v>70.3</v>
      </c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</row>
    <row r="63" spans="1:65" s="210" customFormat="1">
      <c r="A63" s="53" t="s">
        <v>1126</v>
      </c>
      <c r="B63" s="53">
        <v>37.299999999999997</v>
      </c>
      <c r="C63" s="205">
        <v>181.84562634241956</v>
      </c>
      <c r="D63" s="53">
        <v>6.6280000000000001</v>
      </c>
      <c r="E63" s="53">
        <v>23.8</v>
      </c>
      <c r="F63" s="53">
        <v>575</v>
      </c>
      <c r="G63" s="53" t="s">
        <v>1193</v>
      </c>
      <c r="H63" s="53" t="s">
        <v>137</v>
      </c>
      <c r="I63" s="71" t="s">
        <v>496</v>
      </c>
      <c r="J63" s="53">
        <v>352</v>
      </c>
      <c r="K63" s="53">
        <v>65</v>
      </c>
      <c r="L63" s="71"/>
      <c r="M63" s="53"/>
      <c r="N63" s="53"/>
      <c r="O63" s="71"/>
      <c r="P63" s="53"/>
      <c r="Q63" s="53"/>
      <c r="R63" s="71"/>
      <c r="S63" s="53"/>
      <c r="T63" s="53"/>
      <c r="U63" s="53">
        <v>2.5</v>
      </c>
      <c r="V63" s="204" t="s">
        <v>1165</v>
      </c>
      <c r="W63" s="53">
        <v>66</v>
      </c>
      <c r="X63" s="53">
        <v>8</v>
      </c>
      <c r="Y63" s="53" t="s">
        <v>1194</v>
      </c>
      <c r="Z63" s="204" t="s">
        <v>341</v>
      </c>
      <c r="AA63" s="53">
        <v>100</v>
      </c>
      <c r="AB63" s="53">
        <v>-79</v>
      </c>
      <c r="AC63" s="53" t="s">
        <v>113</v>
      </c>
      <c r="AD63" s="53" t="s">
        <v>66</v>
      </c>
      <c r="AE63" s="53" t="s">
        <v>168</v>
      </c>
      <c r="AF63" s="59"/>
      <c r="AG63" s="69"/>
      <c r="AH63" s="186">
        <v>284.39999999999998</v>
      </c>
      <c r="AI63" s="186">
        <v>39</v>
      </c>
      <c r="AJ63" s="7">
        <v>68.3</v>
      </c>
      <c r="AK63" s="7">
        <v>-16.2</v>
      </c>
      <c r="AL63" s="53">
        <v>177</v>
      </c>
      <c r="AM63" s="53">
        <v>-50.5</v>
      </c>
      <c r="AN63" s="53">
        <v>64.900000000000006</v>
      </c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</row>
    <row r="64" spans="1:65" s="211" customFormat="1">
      <c r="A64" s="53" t="s">
        <v>1126</v>
      </c>
      <c r="B64" s="53">
        <v>37.4</v>
      </c>
      <c r="C64" s="205">
        <v>181.84562634241956</v>
      </c>
      <c r="D64" s="53">
        <v>4.9740000000000002</v>
      </c>
      <c r="E64" s="53">
        <v>24.7</v>
      </c>
      <c r="F64" s="53">
        <v>575</v>
      </c>
      <c r="G64" s="53" t="s">
        <v>1195</v>
      </c>
      <c r="H64" s="53" t="s">
        <v>137</v>
      </c>
      <c r="I64" s="71"/>
      <c r="J64" s="53"/>
      <c r="K64" s="53"/>
      <c r="L64" s="71"/>
      <c r="M64" s="53"/>
      <c r="N64" s="53"/>
      <c r="O64" s="71"/>
      <c r="P64" s="53"/>
      <c r="Q64" s="53"/>
      <c r="R64" s="203" t="s">
        <v>1134</v>
      </c>
      <c r="S64" s="53">
        <v>74</v>
      </c>
      <c r="T64" s="53">
        <v>39</v>
      </c>
      <c r="U64" s="53">
        <v>3</v>
      </c>
      <c r="V64" s="53" t="s">
        <v>1196</v>
      </c>
      <c r="W64" s="53">
        <v>20</v>
      </c>
      <c r="X64" s="53">
        <v>-49</v>
      </c>
      <c r="Y64" s="53" t="s">
        <v>1197</v>
      </c>
      <c r="Z64" s="204" t="s">
        <v>341</v>
      </c>
      <c r="AA64" s="53">
        <v>142</v>
      </c>
      <c r="AB64" s="53">
        <v>-32</v>
      </c>
      <c r="AC64" s="53" t="s">
        <v>105</v>
      </c>
      <c r="AD64" s="53" t="s">
        <v>66</v>
      </c>
      <c r="AE64" s="53" t="s">
        <v>67</v>
      </c>
      <c r="AF64" s="59"/>
      <c r="AG64" s="69"/>
      <c r="AH64" s="186">
        <v>284.39999999999998</v>
      </c>
      <c r="AI64" s="186">
        <v>39</v>
      </c>
      <c r="AJ64" s="7">
        <v>77.5</v>
      </c>
      <c r="AK64" s="7">
        <v>-85.9</v>
      </c>
      <c r="AL64" s="53">
        <v>152</v>
      </c>
      <c r="AM64" s="53">
        <v>-4.9000000000000004</v>
      </c>
      <c r="AN64" s="53"/>
      <c r="AO64" s="53">
        <v>59.2</v>
      </c>
      <c r="AP64" s="53">
        <v>-29.8</v>
      </c>
      <c r="AQ64" s="53">
        <v>74.7</v>
      </c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</row>
    <row r="65" spans="1:65" s="211" customFormat="1">
      <c r="A65" s="53" t="s">
        <v>1126</v>
      </c>
      <c r="B65" s="53">
        <v>37.5</v>
      </c>
      <c r="C65" s="205">
        <v>181.84562634241956</v>
      </c>
      <c r="D65" s="53">
        <v>6.1719999999999997</v>
      </c>
      <c r="E65" s="53">
        <v>24.3</v>
      </c>
      <c r="F65" s="53">
        <v>530</v>
      </c>
      <c r="G65" s="53" t="s">
        <v>1198</v>
      </c>
      <c r="H65" s="53" t="s">
        <v>137</v>
      </c>
      <c r="I65" s="71" t="s">
        <v>354</v>
      </c>
      <c r="J65" s="53">
        <v>19</v>
      </c>
      <c r="K65" s="53">
        <v>72</v>
      </c>
      <c r="L65" s="71"/>
      <c r="M65" s="53"/>
      <c r="N65" s="53"/>
      <c r="O65" s="71"/>
      <c r="P65" s="53"/>
      <c r="Q65" s="53"/>
      <c r="R65" s="203"/>
      <c r="S65" s="53"/>
      <c r="T65" s="53"/>
      <c r="U65" s="53">
        <v>1.2</v>
      </c>
      <c r="V65" s="204" t="s">
        <v>244</v>
      </c>
      <c r="W65" s="53">
        <v>52</v>
      </c>
      <c r="X65" s="53">
        <v>7</v>
      </c>
      <c r="Y65" s="53"/>
      <c r="Z65" s="204" t="s">
        <v>244</v>
      </c>
      <c r="AA65" s="53">
        <v>252</v>
      </c>
      <c r="AB65" s="53">
        <v>54</v>
      </c>
      <c r="AC65" s="53" t="s">
        <v>113</v>
      </c>
      <c r="AD65" s="53" t="s">
        <v>66</v>
      </c>
      <c r="AE65" s="53" t="s">
        <v>168</v>
      </c>
      <c r="AF65" s="59"/>
      <c r="AG65" s="69"/>
      <c r="AH65" s="186">
        <v>284.39999999999998</v>
      </c>
      <c r="AI65" s="186">
        <v>39</v>
      </c>
      <c r="AJ65" s="7">
        <v>55.8</v>
      </c>
      <c r="AK65" s="7">
        <v>-23.6</v>
      </c>
      <c r="AL65" s="53">
        <v>312.39999999999998</v>
      </c>
      <c r="AM65" s="53">
        <v>55.8</v>
      </c>
      <c r="AN65" s="53">
        <v>77.8</v>
      </c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</row>
    <row r="66" spans="1:65" s="212" customFormat="1">
      <c r="A66" s="53" t="s">
        <v>1126</v>
      </c>
      <c r="B66" s="53">
        <v>38.1</v>
      </c>
      <c r="C66" s="205">
        <v>183.83633838788452</v>
      </c>
      <c r="D66" s="53">
        <v>0.43099999999999999</v>
      </c>
      <c r="E66" s="53">
        <v>33.700000000000003</v>
      </c>
      <c r="F66" s="53">
        <v>530</v>
      </c>
      <c r="G66" s="53" t="s">
        <v>1199</v>
      </c>
      <c r="H66" s="53" t="s">
        <v>137</v>
      </c>
      <c r="I66" s="71"/>
      <c r="J66" s="53"/>
      <c r="K66" s="53"/>
      <c r="L66" s="71"/>
      <c r="M66" s="53"/>
      <c r="N66" s="53"/>
      <c r="O66" s="71"/>
      <c r="P66" s="53"/>
      <c r="Q66" s="53"/>
      <c r="R66" s="71"/>
      <c r="S66" s="53"/>
      <c r="T66" s="53"/>
      <c r="U66" s="53">
        <v>1.7</v>
      </c>
      <c r="V66" s="204" t="s">
        <v>104</v>
      </c>
      <c r="W66" s="53">
        <v>220</v>
      </c>
      <c r="X66" s="53">
        <v>-14</v>
      </c>
      <c r="Y66" s="53" t="s">
        <v>1200</v>
      </c>
      <c r="Z66" s="53"/>
      <c r="AA66" s="53"/>
      <c r="AB66" s="53"/>
      <c r="AC66" s="53" t="s">
        <v>113</v>
      </c>
      <c r="AD66" s="53"/>
      <c r="AE66" s="53" t="s">
        <v>114</v>
      </c>
      <c r="AF66" s="72"/>
      <c r="AG66" s="202"/>
      <c r="AH66" s="186">
        <v>284.39999999999998</v>
      </c>
      <c r="AI66" s="186">
        <v>39</v>
      </c>
      <c r="AJ66" s="53">
        <v>221.1</v>
      </c>
      <c r="AK66" s="53">
        <v>21.3</v>
      </c>
      <c r="AL66" s="53"/>
      <c r="AM66" s="53"/>
      <c r="AN66" s="53">
        <v>-85.8</v>
      </c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</row>
    <row r="67" spans="1:65">
      <c r="A67" s="53" t="s">
        <v>1126</v>
      </c>
      <c r="B67" s="53">
        <v>39.1</v>
      </c>
      <c r="C67" s="205">
        <v>189.08779974126412</v>
      </c>
      <c r="D67" s="53">
        <v>8.3650000000000002</v>
      </c>
      <c r="E67" s="67">
        <v>28</v>
      </c>
      <c r="F67" s="53">
        <v>520</v>
      </c>
      <c r="G67" s="53" t="s">
        <v>1201</v>
      </c>
      <c r="H67" s="53" t="s">
        <v>137</v>
      </c>
      <c r="I67" s="71"/>
      <c r="J67" s="53"/>
      <c r="K67" s="53"/>
      <c r="O67" s="203" t="s">
        <v>1202</v>
      </c>
      <c r="P67" s="53">
        <v>69</v>
      </c>
      <c r="Q67" s="53">
        <v>-16</v>
      </c>
      <c r="R67" s="71" t="s">
        <v>205</v>
      </c>
      <c r="S67" s="53">
        <v>122</v>
      </c>
      <c r="T67" s="53">
        <v>19</v>
      </c>
      <c r="U67" s="53"/>
      <c r="Y67" s="99" t="s">
        <v>1203</v>
      </c>
      <c r="Z67" s="53"/>
      <c r="AA67" s="53"/>
      <c r="AB67" s="53"/>
      <c r="AC67" s="53" t="s">
        <v>412</v>
      </c>
      <c r="AD67" s="53"/>
      <c r="AE67" s="53" t="s">
        <v>181</v>
      </c>
      <c r="AF67" s="201"/>
      <c r="AG67" s="202"/>
      <c r="AH67" s="186">
        <v>284.39999999999998</v>
      </c>
      <c r="AI67" s="186">
        <v>39</v>
      </c>
      <c r="AJ67" s="53"/>
      <c r="AK67" s="53"/>
      <c r="AL67" s="53"/>
      <c r="AM67" s="53"/>
    </row>
    <row r="68" spans="1:65">
      <c r="A68" s="53" t="s">
        <v>1204</v>
      </c>
      <c r="B68" s="53">
        <v>40.1</v>
      </c>
      <c r="C68" s="205">
        <v>191.48330321925167</v>
      </c>
      <c r="D68" s="141">
        <v>0.44</v>
      </c>
      <c r="E68" s="67">
        <v>27</v>
      </c>
      <c r="F68" s="53"/>
      <c r="G68" s="53" t="s">
        <v>1205</v>
      </c>
      <c r="H68" s="53"/>
      <c r="I68" s="71" t="s">
        <v>1206</v>
      </c>
      <c r="J68" s="53">
        <v>78</v>
      </c>
      <c r="K68" s="53">
        <v>60</v>
      </c>
      <c r="L68" s="71"/>
      <c r="M68" s="53"/>
      <c r="N68" s="53"/>
      <c r="O68" s="71" t="s">
        <v>205</v>
      </c>
      <c r="P68" s="53">
        <v>137</v>
      </c>
      <c r="Q68" s="53">
        <v>65</v>
      </c>
      <c r="R68" s="71"/>
      <c r="S68" s="53"/>
      <c r="T68" s="53"/>
      <c r="U68" s="53">
        <v>2.5</v>
      </c>
      <c r="V68" s="53" t="s">
        <v>1207</v>
      </c>
      <c r="W68" s="53">
        <v>16</v>
      </c>
      <c r="X68" s="53">
        <v>-23</v>
      </c>
      <c r="Y68" s="53" t="s">
        <v>1108</v>
      </c>
      <c r="Z68" s="204" t="s">
        <v>341</v>
      </c>
      <c r="AA68" s="53">
        <v>315</v>
      </c>
      <c r="AB68" s="53">
        <v>20</v>
      </c>
      <c r="AC68" s="53" t="s">
        <v>159</v>
      </c>
      <c r="AD68" s="53" t="s">
        <v>66</v>
      </c>
      <c r="AE68" s="53" t="s">
        <v>67</v>
      </c>
      <c r="AF68" s="59"/>
      <c r="AG68" s="202"/>
      <c r="AH68" s="186">
        <v>284.39999999999998</v>
      </c>
      <c r="AI68" s="186">
        <v>39</v>
      </c>
      <c r="AJ68" s="53">
        <v>17.5</v>
      </c>
      <c r="AK68" s="53">
        <v>-62</v>
      </c>
      <c r="AL68" s="53">
        <v>320.39999999999998</v>
      </c>
      <c r="AM68" s="53">
        <v>-2</v>
      </c>
      <c r="AO68" s="53">
        <v>51.4</v>
      </c>
      <c r="AP68" s="53">
        <v>-27.5</v>
      </c>
      <c r="AQ68" s="53">
        <v>82.3</v>
      </c>
    </row>
    <row r="69" spans="1:65" s="206" customFormat="1">
      <c r="A69" s="53" t="s">
        <v>1204</v>
      </c>
      <c r="B69" s="53">
        <v>41.1</v>
      </c>
      <c r="C69" s="205">
        <v>194.05280569201727</v>
      </c>
      <c r="D69" s="53">
        <v>0.32500000000000001</v>
      </c>
      <c r="E69" s="53">
        <v>20.2</v>
      </c>
      <c r="F69" s="53">
        <v>400</v>
      </c>
      <c r="G69" s="53" t="s">
        <v>1208</v>
      </c>
      <c r="H69" s="53" t="s">
        <v>137</v>
      </c>
      <c r="I69" s="7"/>
      <c r="J69" s="7"/>
      <c r="K69" s="7"/>
      <c r="L69" s="7"/>
      <c r="M69" s="7"/>
      <c r="N69" s="7"/>
      <c r="O69" s="71" t="s">
        <v>716</v>
      </c>
      <c r="P69" s="53">
        <v>147</v>
      </c>
      <c r="Q69" s="53">
        <v>48</v>
      </c>
      <c r="R69" s="203" t="s">
        <v>222</v>
      </c>
      <c r="S69" s="53">
        <v>331</v>
      </c>
      <c r="T69" s="53">
        <v>-53</v>
      </c>
      <c r="U69" s="53">
        <v>2.2000000000000002</v>
      </c>
      <c r="V69" s="53"/>
      <c r="W69" s="53"/>
      <c r="X69" s="53"/>
      <c r="Y69" s="53" t="s">
        <v>1209</v>
      </c>
      <c r="Z69" s="53"/>
      <c r="AA69" s="53"/>
      <c r="AB69" s="53"/>
      <c r="AC69" s="53" t="s">
        <v>190</v>
      </c>
      <c r="AD69" s="53"/>
      <c r="AE69" s="53" t="s">
        <v>181</v>
      </c>
      <c r="AF69" s="201"/>
      <c r="AG69" s="202"/>
      <c r="AH69" s="186">
        <v>284.39999999999998</v>
      </c>
      <c r="AI69" s="186">
        <v>39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</row>
    <row r="70" spans="1:65" s="206" customFormat="1">
      <c r="A70" s="53" t="s">
        <v>1204</v>
      </c>
      <c r="B70" s="53" t="s">
        <v>1210</v>
      </c>
      <c r="C70" s="205">
        <v>194.05280569201727</v>
      </c>
      <c r="D70" s="53">
        <v>0.30199999999999999</v>
      </c>
      <c r="E70" s="53"/>
      <c r="F70" s="53">
        <v>575</v>
      </c>
      <c r="G70" s="53">
        <v>640</v>
      </c>
      <c r="H70" s="53" t="s">
        <v>137</v>
      </c>
      <c r="I70" s="71"/>
      <c r="J70" s="53"/>
      <c r="K70" s="53"/>
      <c r="L70" s="71" t="s">
        <v>119</v>
      </c>
      <c r="M70" s="53">
        <v>189</v>
      </c>
      <c r="N70" s="53">
        <v>34</v>
      </c>
      <c r="O70" s="71"/>
      <c r="P70" s="53"/>
      <c r="Q70" s="53"/>
      <c r="R70" s="71" t="s">
        <v>578</v>
      </c>
      <c r="S70" s="53">
        <v>315</v>
      </c>
      <c r="T70" s="53">
        <v>67</v>
      </c>
      <c r="U70" s="53">
        <v>1.7</v>
      </c>
      <c r="V70" s="53"/>
      <c r="W70" s="53"/>
      <c r="X70" s="53"/>
      <c r="Y70" s="53" t="s">
        <v>485</v>
      </c>
      <c r="Z70" s="53" t="s">
        <v>85</v>
      </c>
      <c r="AA70" s="53">
        <v>259</v>
      </c>
      <c r="AB70" s="53">
        <v>-26</v>
      </c>
      <c r="AC70" s="53" t="s">
        <v>412</v>
      </c>
      <c r="AD70" s="53"/>
      <c r="AE70" s="53" t="s">
        <v>181</v>
      </c>
      <c r="AF70" s="201"/>
      <c r="AG70" s="202"/>
      <c r="AH70" s="186">
        <v>284.39999999999998</v>
      </c>
      <c r="AI70" s="186">
        <v>39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</row>
    <row r="71" spans="1:65" s="210" customFormat="1">
      <c r="A71" s="53" t="s">
        <v>1204</v>
      </c>
      <c r="B71" s="53">
        <v>42.1</v>
      </c>
      <c r="C71" s="205">
        <v>198.39112289365914</v>
      </c>
      <c r="D71" s="53">
        <v>7.7850000000000001</v>
      </c>
      <c r="E71" s="53">
        <v>27.6</v>
      </c>
      <c r="F71" s="53">
        <v>660</v>
      </c>
      <c r="G71" s="53" t="s">
        <v>1211</v>
      </c>
      <c r="H71" s="53" t="s">
        <v>137</v>
      </c>
      <c r="I71" s="71"/>
      <c r="J71" s="53"/>
      <c r="K71" s="53"/>
      <c r="L71" s="71"/>
      <c r="M71" s="53"/>
      <c r="N71" s="53"/>
      <c r="O71" s="71"/>
      <c r="P71" s="53"/>
      <c r="Q71" s="53"/>
      <c r="R71" s="71" t="s">
        <v>1212</v>
      </c>
      <c r="S71" s="53">
        <v>77</v>
      </c>
      <c r="T71" s="53">
        <v>-27</v>
      </c>
      <c r="U71" s="53">
        <v>3</v>
      </c>
      <c r="V71" s="53" t="s">
        <v>1213</v>
      </c>
      <c r="W71" s="53">
        <v>16</v>
      </c>
      <c r="X71" s="53">
        <v>-10</v>
      </c>
      <c r="Y71" s="53" t="s">
        <v>529</v>
      </c>
      <c r="Z71" s="53" t="s">
        <v>1155</v>
      </c>
      <c r="AA71" s="53">
        <v>343</v>
      </c>
      <c r="AB71" s="53">
        <v>81</v>
      </c>
      <c r="AC71" s="53" t="s">
        <v>65</v>
      </c>
      <c r="AD71" s="53" t="s">
        <v>87</v>
      </c>
      <c r="AE71" s="53" t="s">
        <v>67</v>
      </c>
      <c r="AF71" s="59"/>
      <c r="AG71" s="69"/>
      <c r="AH71" s="186">
        <v>282.39999999999998</v>
      </c>
      <c r="AI71" s="186">
        <v>46</v>
      </c>
      <c r="AJ71" s="53">
        <v>18.7</v>
      </c>
      <c r="AK71" s="53">
        <v>-55.9</v>
      </c>
      <c r="AL71" s="53">
        <v>7</v>
      </c>
      <c r="AM71" s="53">
        <v>36</v>
      </c>
      <c r="AN71" s="53"/>
      <c r="AO71" s="53">
        <v>55.5</v>
      </c>
      <c r="AP71" s="53">
        <v>-42.4</v>
      </c>
      <c r="AQ71" s="53">
        <v>74.900000000000006</v>
      </c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</row>
    <row r="72" spans="1:65" s="211" customFormat="1">
      <c r="A72" s="53" t="s">
        <v>1204</v>
      </c>
      <c r="B72" s="53">
        <v>42.2</v>
      </c>
      <c r="C72" s="205">
        <v>198.39112289365914</v>
      </c>
      <c r="D72" s="53">
        <v>6.9649999999999999</v>
      </c>
      <c r="E72" s="53">
        <v>22.9</v>
      </c>
      <c r="F72" s="53">
        <v>630</v>
      </c>
      <c r="G72" s="53" t="s">
        <v>1214</v>
      </c>
      <c r="H72" s="53" t="s">
        <v>137</v>
      </c>
      <c r="I72" s="71"/>
      <c r="J72" s="53"/>
      <c r="K72" s="53"/>
      <c r="L72" s="71"/>
      <c r="M72" s="53"/>
      <c r="N72" s="53"/>
      <c r="O72" s="71"/>
      <c r="P72" s="53"/>
      <c r="Q72" s="53"/>
      <c r="R72" s="203" t="s">
        <v>1143</v>
      </c>
      <c r="S72" s="53">
        <v>49</v>
      </c>
      <c r="T72" s="53">
        <v>-48</v>
      </c>
      <c r="U72" s="53">
        <v>0.8</v>
      </c>
      <c r="V72" s="53" t="s">
        <v>1213</v>
      </c>
      <c r="W72" s="53">
        <v>4</v>
      </c>
      <c r="X72" s="53">
        <v>-12</v>
      </c>
      <c r="Y72" s="53" t="s">
        <v>1215</v>
      </c>
      <c r="Z72" s="53" t="s">
        <v>354</v>
      </c>
      <c r="AA72" s="53">
        <v>248</v>
      </c>
      <c r="AB72" s="53">
        <v>-35</v>
      </c>
      <c r="AC72" s="53" t="s">
        <v>65</v>
      </c>
      <c r="AD72" s="53" t="s">
        <v>399</v>
      </c>
      <c r="AE72" s="53" t="s">
        <v>67</v>
      </c>
      <c r="AF72" s="59"/>
      <c r="AG72" s="69"/>
      <c r="AH72" s="186">
        <v>282.39999999999998</v>
      </c>
      <c r="AI72" s="186">
        <v>46</v>
      </c>
      <c r="AJ72" s="53">
        <v>357.1</v>
      </c>
      <c r="AK72" s="53">
        <v>-57.2</v>
      </c>
      <c r="AL72" s="53">
        <v>235</v>
      </c>
      <c r="AM72" s="53">
        <v>-3.8</v>
      </c>
      <c r="AN72" s="53"/>
      <c r="AO72" s="53">
        <v>335.9</v>
      </c>
      <c r="AP72" s="53">
        <v>-70.599999999999994</v>
      </c>
      <c r="AQ72" s="53">
        <v>24.7</v>
      </c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</row>
    <row r="73" spans="1:65" s="212" customFormat="1">
      <c r="A73" s="53" t="s">
        <v>1204</v>
      </c>
      <c r="B73" s="53">
        <v>42.3</v>
      </c>
      <c r="C73" s="205">
        <v>198.39112289365914</v>
      </c>
      <c r="D73" s="53">
        <v>7.5129999999999999</v>
      </c>
      <c r="E73" s="53">
        <v>28.2</v>
      </c>
      <c r="F73" s="53">
        <v>550</v>
      </c>
      <c r="G73" s="53" t="s">
        <v>1216</v>
      </c>
      <c r="H73" s="53" t="s">
        <v>137</v>
      </c>
      <c r="I73" s="71"/>
      <c r="J73" s="53"/>
      <c r="K73" s="53"/>
      <c r="L73" s="71"/>
      <c r="M73" s="53"/>
      <c r="N73" s="53"/>
      <c r="O73" s="71"/>
      <c r="P73" s="53"/>
      <c r="Q73" s="53"/>
      <c r="R73" s="71" t="s">
        <v>496</v>
      </c>
      <c r="S73" s="53">
        <v>65</v>
      </c>
      <c r="T73" s="53">
        <v>-47</v>
      </c>
      <c r="U73" s="53">
        <v>3</v>
      </c>
      <c r="V73" s="53"/>
      <c r="W73" s="53"/>
      <c r="X73" s="53"/>
      <c r="Y73" s="53" t="s">
        <v>1217</v>
      </c>
      <c r="Z73" s="204" t="s">
        <v>222</v>
      </c>
      <c r="AA73" s="53">
        <v>127</v>
      </c>
      <c r="AB73" s="53">
        <v>-19</v>
      </c>
      <c r="AC73" s="53" t="s">
        <v>65</v>
      </c>
      <c r="AD73" s="53" t="s">
        <v>66</v>
      </c>
      <c r="AE73" s="53" t="s">
        <v>67</v>
      </c>
      <c r="AF73" s="59"/>
      <c r="AG73" s="69"/>
      <c r="AH73" s="186">
        <v>282.39999999999998</v>
      </c>
      <c r="AI73" s="186">
        <v>46</v>
      </c>
      <c r="AJ73" s="53"/>
      <c r="AK73" s="53"/>
      <c r="AL73" s="53">
        <v>133</v>
      </c>
      <c r="AM73" s="53">
        <v>3.3</v>
      </c>
      <c r="AN73" s="53"/>
      <c r="AO73" s="53">
        <v>44.7</v>
      </c>
      <c r="AP73" s="53">
        <v>-27.4</v>
      </c>
      <c r="AQ73" s="53">
        <v>88.8</v>
      </c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</row>
    <row r="74" spans="1:65" s="53" customFormat="1">
      <c r="A74" s="53" t="s">
        <v>1204</v>
      </c>
      <c r="B74" s="53">
        <v>42.4</v>
      </c>
      <c r="C74" s="205">
        <v>198.39112289365914</v>
      </c>
      <c r="D74" s="53">
        <v>8.0860000000000003</v>
      </c>
      <c r="E74" s="53">
        <v>25.3</v>
      </c>
      <c r="F74" s="53">
        <v>520</v>
      </c>
      <c r="G74" s="53" t="s">
        <v>1218</v>
      </c>
      <c r="H74" s="53" t="s">
        <v>137</v>
      </c>
      <c r="I74" s="71"/>
      <c r="L74" s="71" t="s">
        <v>1219</v>
      </c>
      <c r="M74" s="53">
        <v>154</v>
      </c>
      <c r="N74" s="53">
        <v>1</v>
      </c>
      <c r="O74" s="71"/>
      <c r="R74" s="71"/>
      <c r="U74" s="53">
        <v>1.7</v>
      </c>
      <c r="V74" s="204" t="s">
        <v>553</v>
      </c>
      <c r="W74" s="53">
        <v>41</v>
      </c>
      <c r="X74" s="53">
        <v>-45</v>
      </c>
      <c r="Z74" s="204" t="s">
        <v>244</v>
      </c>
      <c r="AA74" s="53">
        <v>60</v>
      </c>
      <c r="AB74" s="53">
        <v>45</v>
      </c>
      <c r="AC74" s="53" t="s">
        <v>105</v>
      </c>
      <c r="AD74" s="53" t="s">
        <v>106</v>
      </c>
      <c r="AE74" s="53" t="s">
        <v>88</v>
      </c>
      <c r="AF74" s="59"/>
      <c r="AG74" s="69"/>
      <c r="AH74" s="186">
        <v>282.39999999999998</v>
      </c>
      <c r="AI74" s="186">
        <v>46</v>
      </c>
      <c r="AJ74" s="53">
        <v>115.3</v>
      </c>
      <c r="AK74" s="53">
        <v>-69.7</v>
      </c>
      <c r="AL74" s="53">
        <v>44.3</v>
      </c>
      <c r="AM74" s="53">
        <v>8.5</v>
      </c>
      <c r="AO74" s="53">
        <v>35.200000000000003</v>
      </c>
      <c r="AP74" s="53">
        <v>-81.400000000000006</v>
      </c>
      <c r="AQ74" s="53">
        <v>31.2</v>
      </c>
    </row>
    <row r="75" spans="1:65" s="211" customFormat="1">
      <c r="A75" s="53" t="s">
        <v>1204</v>
      </c>
      <c r="B75" s="53" t="s">
        <v>1220</v>
      </c>
      <c r="C75" s="205">
        <v>198.39112289365914</v>
      </c>
      <c r="D75" s="53">
        <v>8.4019999999999992</v>
      </c>
      <c r="E75" s="53"/>
      <c r="F75" s="53" t="s">
        <v>1092</v>
      </c>
      <c r="G75" s="53">
        <v>690</v>
      </c>
      <c r="H75" s="53" t="s">
        <v>137</v>
      </c>
      <c r="I75" s="71"/>
      <c r="J75" s="53"/>
      <c r="K75" s="53"/>
      <c r="L75" s="71"/>
      <c r="M75" s="53"/>
      <c r="N75" s="53"/>
      <c r="O75" s="71"/>
      <c r="P75" s="53"/>
      <c r="Q75" s="53"/>
      <c r="R75" s="71" t="s">
        <v>1221</v>
      </c>
      <c r="S75" s="53">
        <v>149</v>
      </c>
      <c r="T75" s="53">
        <v>6</v>
      </c>
      <c r="U75" s="53">
        <v>1.2</v>
      </c>
      <c r="V75" s="204" t="s">
        <v>1137</v>
      </c>
      <c r="W75" s="53">
        <v>34</v>
      </c>
      <c r="X75" s="53">
        <v>12</v>
      </c>
      <c r="Y75" s="53" t="s">
        <v>1222</v>
      </c>
      <c r="Z75" s="53" t="s">
        <v>1223</v>
      </c>
      <c r="AA75" s="53">
        <v>311</v>
      </c>
      <c r="AB75" s="53">
        <v>32</v>
      </c>
      <c r="AC75" s="53" t="s">
        <v>113</v>
      </c>
      <c r="AD75" s="53" t="s">
        <v>87</v>
      </c>
      <c r="AE75" s="53" t="s">
        <v>168</v>
      </c>
      <c r="AF75" s="59"/>
      <c r="AG75" s="69"/>
      <c r="AH75" s="186">
        <v>282.39999999999998</v>
      </c>
      <c r="AI75" s="186">
        <v>46</v>
      </c>
      <c r="AJ75" s="53">
        <v>37.1</v>
      </c>
      <c r="AK75" s="53">
        <v>-30.6</v>
      </c>
      <c r="AL75" s="53">
        <v>324.10000000000002</v>
      </c>
      <c r="AM75" s="53">
        <v>4.4000000000000004</v>
      </c>
      <c r="AN75" s="53">
        <v>83.6</v>
      </c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</row>
    <row r="76" spans="1:65" s="210" customFormat="1">
      <c r="A76" s="53" t="s">
        <v>1204</v>
      </c>
      <c r="B76" s="53">
        <v>43.1</v>
      </c>
      <c r="C76" s="205">
        <v>205.384504192712</v>
      </c>
      <c r="D76" s="53">
        <v>7.4189999999999996</v>
      </c>
      <c r="E76" s="53">
        <v>25.3</v>
      </c>
      <c r="F76" s="53">
        <v>600</v>
      </c>
      <c r="G76" s="53" t="s">
        <v>1224</v>
      </c>
      <c r="H76" s="53" t="s">
        <v>137</v>
      </c>
      <c r="I76" s="71"/>
      <c r="J76" s="53"/>
      <c r="K76" s="53"/>
      <c r="L76" s="71"/>
      <c r="M76" s="53"/>
      <c r="N76" s="53"/>
      <c r="O76" s="71"/>
      <c r="P76" s="53"/>
      <c r="Q76" s="53"/>
      <c r="R76" s="71"/>
      <c r="S76" s="53"/>
      <c r="T76" s="53"/>
      <c r="U76" s="53">
        <v>9</v>
      </c>
      <c r="V76" s="204" t="s">
        <v>1143</v>
      </c>
      <c r="W76" s="53">
        <v>36</v>
      </c>
      <c r="X76" s="53">
        <v>-3</v>
      </c>
      <c r="Y76" s="53"/>
      <c r="Z76" s="204" t="s">
        <v>244</v>
      </c>
      <c r="AA76" s="53">
        <v>122</v>
      </c>
      <c r="AB76" s="53">
        <v>48</v>
      </c>
      <c r="AC76" s="53" t="s">
        <v>113</v>
      </c>
      <c r="AD76" s="53" t="s">
        <v>66</v>
      </c>
      <c r="AE76" s="53" t="s">
        <v>168</v>
      </c>
      <c r="AF76" s="59"/>
      <c r="AG76" s="69"/>
      <c r="AH76" s="186">
        <v>282.39999999999998</v>
      </c>
      <c r="AI76" s="186">
        <v>46</v>
      </c>
      <c r="AJ76" s="53">
        <v>46.2</v>
      </c>
      <c r="AK76" s="53">
        <v>-44</v>
      </c>
      <c r="AL76" s="53">
        <v>71.400000000000006</v>
      </c>
      <c r="AM76" s="53">
        <v>42.7</v>
      </c>
      <c r="AN76" s="53">
        <v>78.5</v>
      </c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</row>
    <row r="77" spans="1:65" s="211" customFormat="1">
      <c r="A77" s="53" t="s">
        <v>1204</v>
      </c>
      <c r="B77" s="53">
        <v>43.2</v>
      </c>
      <c r="C77" s="205">
        <v>205.384504192712</v>
      </c>
      <c r="D77" s="53">
        <v>6.5780000000000003</v>
      </c>
      <c r="E77" s="53">
        <v>24.1</v>
      </c>
      <c r="F77" s="53">
        <v>630</v>
      </c>
      <c r="G77" s="53" t="s">
        <v>1225</v>
      </c>
      <c r="H77" s="53" t="s">
        <v>137</v>
      </c>
      <c r="I77" s="71"/>
      <c r="J77" s="53"/>
      <c r="K77" s="53"/>
      <c r="L77" s="53"/>
      <c r="M77" s="53"/>
      <c r="N77" s="53"/>
      <c r="O77" s="71" t="s">
        <v>1162</v>
      </c>
      <c r="P77" s="53">
        <v>148</v>
      </c>
      <c r="Q77" s="53">
        <v>42</v>
      </c>
      <c r="R77" s="71" t="s">
        <v>1226</v>
      </c>
      <c r="S77" s="53">
        <v>43</v>
      </c>
      <c r="T77" s="53">
        <v>-44</v>
      </c>
      <c r="U77" s="53">
        <v>1.2</v>
      </c>
      <c r="V77" s="53"/>
      <c r="W77" s="53"/>
      <c r="X77" s="53"/>
      <c r="Y77" s="53" t="s">
        <v>1227</v>
      </c>
      <c r="Z77" s="204" t="s">
        <v>1165</v>
      </c>
      <c r="AA77" s="53">
        <v>302</v>
      </c>
      <c r="AB77" s="53">
        <v>-8</v>
      </c>
      <c r="AC77" s="53" t="s">
        <v>65</v>
      </c>
      <c r="AD77" s="53" t="s">
        <v>66</v>
      </c>
      <c r="AE77" s="53" t="s">
        <v>168</v>
      </c>
      <c r="AF77" s="59"/>
      <c r="AG77" s="69"/>
      <c r="AH77" s="186">
        <v>282.39999999999998</v>
      </c>
      <c r="AI77" s="186">
        <v>46</v>
      </c>
      <c r="AJ77" s="53"/>
      <c r="AK77" s="53"/>
      <c r="AL77" s="53">
        <v>290.39999999999998</v>
      </c>
      <c r="AM77" s="53">
        <v>-19.600000000000001</v>
      </c>
      <c r="AN77" s="53"/>
      <c r="AO77" s="53">
        <v>33.200000000000003</v>
      </c>
      <c r="AP77" s="53">
        <v>-31.8</v>
      </c>
      <c r="AQ77" s="53">
        <v>79.8</v>
      </c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</row>
    <row r="78" spans="1:65" s="212" customFormat="1">
      <c r="A78" s="53" t="s">
        <v>1204</v>
      </c>
      <c r="B78" s="53">
        <v>43.4</v>
      </c>
      <c r="C78" s="205">
        <v>205.384504192712</v>
      </c>
      <c r="D78" s="53">
        <v>5.0709999999999997</v>
      </c>
      <c r="E78" s="53">
        <v>23.6</v>
      </c>
      <c r="F78" s="53">
        <v>575</v>
      </c>
      <c r="G78" s="53" t="s">
        <v>1228</v>
      </c>
      <c r="H78" s="53" t="s">
        <v>137</v>
      </c>
      <c r="I78" s="71"/>
      <c r="J78" s="53"/>
      <c r="K78" s="53"/>
      <c r="L78" s="71"/>
      <c r="M78" s="53"/>
      <c r="N78" s="53"/>
      <c r="O78" s="71"/>
      <c r="P78" s="53"/>
      <c r="Q78" s="53"/>
      <c r="R78" s="71" t="s">
        <v>1067</v>
      </c>
      <c r="S78" s="53">
        <v>78</v>
      </c>
      <c r="T78" s="53">
        <v>-13</v>
      </c>
      <c r="U78" s="53">
        <v>3</v>
      </c>
      <c r="V78" s="53"/>
      <c r="W78" s="53"/>
      <c r="X78" s="53"/>
      <c r="Y78" s="53"/>
      <c r="Z78" s="53" t="s">
        <v>1162</v>
      </c>
      <c r="AA78" s="53">
        <v>119</v>
      </c>
      <c r="AB78" s="53">
        <v>68</v>
      </c>
      <c r="AC78" s="53" t="s">
        <v>65</v>
      </c>
      <c r="AD78" s="53" t="s">
        <v>87</v>
      </c>
      <c r="AE78" s="53" t="s">
        <v>168</v>
      </c>
      <c r="AF78" s="59"/>
      <c r="AG78" s="69"/>
      <c r="AH78" s="186">
        <v>282.39999999999998</v>
      </c>
      <c r="AI78" s="186">
        <v>46</v>
      </c>
      <c r="AJ78" s="53"/>
      <c r="AK78" s="53"/>
      <c r="AL78" s="53">
        <v>43.6</v>
      </c>
      <c r="AM78" s="53">
        <v>46.1</v>
      </c>
      <c r="AN78" s="53"/>
      <c r="AO78" s="53">
        <v>43.3</v>
      </c>
      <c r="AP78" s="53">
        <v>-43.9</v>
      </c>
      <c r="AQ78" s="53">
        <v>78.900000000000006</v>
      </c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</row>
    <row r="79" spans="1:65" s="211" customFormat="1">
      <c r="A79" s="53" t="s">
        <v>1204</v>
      </c>
      <c r="B79" s="53" t="s">
        <v>1229</v>
      </c>
      <c r="C79" s="205">
        <v>205.384504192712</v>
      </c>
      <c r="D79" s="53">
        <v>17.268999999999998</v>
      </c>
      <c r="E79" s="53"/>
      <c r="F79" s="53" t="s">
        <v>1092</v>
      </c>
      <c r="G79" s="53">
        <v>680</v>
      </c>
      <c r="H79" s="53" t="s">
        <v>137</v>
      </c>
      <c r="I79" s="71"/>
      <c r="J79" s="53"/>
      <c r="K79" s="53"/>
      <c r="L79" s="71" t="s">
        <v>1162</v>
      </c>
      <c r="M79" s="53">
        <v>185</v>
      </c>
      <c r="N79" s="53">
        <v>47</v>
      </c>
      <c r="O79" s="71"/>
      <c r="P79" s="53"/>
      <c r="Q79" s="53"/>
      <c r="R79" s="71"/>
      <c r="S79" s="53"/>
      <c r="T79" s="53"/>
      <c r="U79" s="53">
        <v>1.2</v>
      </c>
      <c r="V79" s="53" t="s">
        <v>1230</v>
      </c>
      <c r="W79" s="53">
        <v>35</v>
      </c>
      <c r="X79" s="53">
        <v>-1</v>
      </c>
      <c r="Y79" s="53"/>
      <c r="Z79" s="53" t="s">
        <v>1231</v>
      </c>
      <c r="AA79" s="53">
        <v>306</v>
      </c>
      <c r="AB79" s="53">
        <v>26</v>
      </c>
      <c r="AC79" s="53" t="s">
        <v>469</v>
      </c>
      <c r="AD79" s="53" t="s">
        <v>66</v>
      </c>
      <c r="AE79" s="53" t="s">
        <v>168</v>
      </c>
      <c r="AF79" s="59"/>
      <c r="AG79" s="69"/>
      <c r="AH79" s="186">
        <v>282.39999999999998</v>
      </c>
      <c r="AI79" s="186">
        <v>46</v>
      </c>
      <c r="AJ79" s="53">
        <v>43.8</v>
      </c>
      <c r="AK79" s="53">
        <v>-42.5</v>
      </c>
      <c r="AL79" s="53">
        <v>316.89999999999998</v>
      </c>
      <c r="AM79" s="53">
        <v>2.6</v>
      </c>
      <c r="AN79" s="53">
        <v>80</v>
      </c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</row>
    <row r="80" spans="1:65">
      <c r="A80" s="53" t="s">
        <v>1232</v>
      </c>
      <c r="B80" s="53">
        <v>44.1</v>
      </c>
      <c r="C80" s="205">
        <v>210.57055766593297</v>
      </c>
      <c r="D80" s="53">
        <v>0.70399999999999996</v>
      </c>
      <c r="E80" s="53">
        <v>31.4</v>
      </c>
      <c r="F80" s="53">
        <v>590</v>
      </c>
      <c r="G80" s="53">
        <v>590</v>
      </c>
      <c r="H80" s="53"/>
      <c r="I80" s="71"/>
      <c r="J80" s="53"/>
      <c r="K80" s="53"/>
      <c r="L80" s="71"/>
      <c r="M80" s="53"/>
      <c r="N80" s="53"/>
      <c r="O80" s="71"/>
      <c r="P80" s="53"/>
      <c r="Q80" s="53"/>
      <c r="R80" s="71" t="s">
        <v>1233</v>
      </c>
      <c r="S80" s="53">
        <v>84</v>
      </c>
      <c r="T80" s="53">
        <v>-36</v>
      </c>
      <c r="U80" s="53">
        <v>1.7</v>
      </c>
      <c r="V80" s="204" t="s">
        <v>158</v>
      </c>
      <c r="W80" s="53">
        <v>88</v>
      </c>
      <c r="X80" s="53">
        <v>18</v>
      </c>
      <c r="Y80" s="53"/>
      <c r="Z80" s="204" t="s">
        <v>341</v>
      </c>
      <c r="AA80" s="53">
        <v>178</v>
      </c>
      <c r="AB80" s="53">
        <v>-2</v>
      </c>
      <c r="AC80" s="53" t="s">
        <v>159</v>
      </c>
      <c r="AD80" s="53" t="s">
        <v>106</v>
      </c>
      <c r="AE80" s="53" t="s">
        <v>67</v>
      </c>
      <c r="AF80" s="59"/>
      <c r="AG80" s="202"/>
      <c r="AH80" s="186">
        <v>282.39999999999998</v>
      </c>
      <c r="AI80" s="186">
        <v>46</v>
      </c>
      <c r="AJ80" s="53">
        <v>79.599999999999994</v>
      </c>
      <c r="AK80" s="53">
        <v>2.6</v>
      </c>
      <c r="AL80" s="53">
        <v>172.8</v>
      </c>
      <c r="AM80" s="53">
        <v>42.2</v>
      </c>
      <c r="AO80" s="53">
        <v>80.8</v>
      </c>
      <c r="AP80" s="53">
        <v>2.2000000000000002</v>
      </c>
      <c r="AQ80" s="53">
        <v>49.8</v>
      </c>
    </row>
    <row r="81" spans="1:65">
      <c r="A81" s="53" t="s">
        <v>1232</v>
      </c>
      <c r="B81" s="53">
        <v>45.1</v>
      </c>
      <c r="C81" s="205">
        <v>212.36206390399232</v>
      </c>
      <c r="D81" s="53">
        <v>0.129</v>
      </c>
      <c r="E81" s="53">
        <v>32.1</v>
      </c>
      <c r="F81" s="53"/>
      <c r="G81" s="53" t="s">
        <v>1234</v>
      </c>
      <c r="H81" s="53"/>
      <c r="I81" s="71" t="s">
        <v>85</v>
      </c>
      <c r="J81" s="53">
        <v>336</v>
      </c>
      <c r="K81" s="53">
        <v>56</v>
      </c>
      <c r="L81" s="71"/>
      <c r="M81" s="53"/>
      <c r="N81" s="53"/>
      <c r="O81" s="71"/>
      <c r="P81" s="53"/>
      <c r="Q81" s="53"/>
      <c r="R81" s="71" t="s">
        <v>1235</v>
      </c>
      <c r="S81" s="53">
        <v>261</v>
      </c>
      <c r="T81" s="53">
        <v>-32</v>
      </c>
      <c r="U81" s="53">
        <v>1.4</v>
      </c>
      <c r="V81" s="204" t="s">
        <v>1202</v>
      </c>
      <c r="W81" s="53">
        <v>38</v>
      </c>
      <c r="X81" s="53">
        <v>65</v>
      </c>
      <c r="Y81" s="53"/>
      <c r="Z81" s="53" t="s">
        <v>1236</v>
      </c>
      <c r="AA81" s="53">
        <v>130</v>
      </c>
      <c r="AB81" s="53">
        <v>-11</v>
      </c>
      <c r="AC81" s="53" t="s">
        <v>105</v>
      </c>
      <c r="AD81" s="53" t="s">
        <v>87</v>
      </c>
      <c r="AE81" s="53" t="s">
        <v>107</v>
      </c>
      <c r="AF81" s="59"/>
      <c r="AG81" s="202"/>
      <c r="AH81" s="186">
        <v>282.39999999999998</v>
      </c>
      <c r="AI81" s="186">
        <v>40</v>
      </c>
      <c r="AJ81" s="53">
        <v>24.2</v>
      </c>
      <c r="AK81" s="53">
        <v>26.7</v>
      </c>
      <c r="AL81" s="53">
        <v>130.80000000000001</v>
      </c>
      <c r="AM81" s="53">
        <v>8.4</v>
      </c>
      <c r="AO81" s="53">
        <v>45.2</v>
      </c>
      <c r="AP81" s="53">
        <v>-27.3</v>
      </c>
      <c r="AQ81" s="53">
        <v>88.3</v>
      </c>
    </row>
    <row r="82" spans="1:65" s="58" customFormat="1">
      <c r="A82" s="53" t="s">
        <v>1232</v>
      </c>
      <c r="B82" s="53">
        <v>46.1</v>
      </c>
      <c r="C82" s="205">
        <v>217.42624167646824</v>
      </c>
      <c r="D82" s="53">
        <v>0.14499999999999999</v>
      </c>
      <c r="E82" s="53">
        <v>31.4</v>
      </c>
      <c r="F82" s="53"/>
      <c r="G82" s="53" t="s">
        <v>1237</v>
      </c>
      <c r="H82" s="53"/>
      <c r="I82" s="71" t="s">
        <v>92</v>
      </c>
      <c r="J82" s="53">
        <v>318</v>
      </c>
      <c r="K82" s="53">
        <v>75</v>
      </c>
      <c r="L82" s="71"/>
      <c r="M82" s="53"/>
      <c r="N82" s="53"/>
      <c r="O82" s="71"/>
      <c r="P82" s="53"/>
      <c r="Q82" s="53"/>
      <c r="R82" s="71"/>
      <c r="S82" s="53"/>
      <c r="T82" s="53"/>
      <c r="U82" s="53">
        <v>1.2</v>
      </c>
      <c r="V82" s="204" t="s">
        <v>158</v>
      </c>
      <c r="W82" s="53">
        <v>45</v>
      </c>
      <c r="X82" s="53">
        <v>21</v>
      </c>
      <c r="Y82" s="53" t="s">
        <v>1238</v>
      </c>
      <c r="Z82" s="204" t="s">
        <v>180</v>
      </c>
      <c r="AA82" s="53">
        <v>305</v>
      </c>
      <c r="AB82" s="53">
        <v>8</v>
      </c>
      <c r="AC82" s="53" t="s">
        <v>113</v>
      </c>
      <c r="AD82" s="53" t="s">
        <v>66</v>
      </c>
      <c r="AE82" s="53" t="s">
        <v>67</v>
      </c>
      <c r="AF82" s="59"/>
      <c r="AG82" s="69"/>
      <c r="AH82" s="186">
        <v>289.35000000000002</v>
      </c>
      <c r="AI82" s="186">
        <v>50.375</v>
      </c>
      <c r="AJ82" s="53">
        <v>45.8</v>
      </c>
      <c r="AK82" s="53">
        <v>-24.8</v>
      </c>
      <c r="AL82" s="53">
        <v>305.60000000000002</v>
      </c>
      <c r="AM82" s="53">
        <v>-6.7</v>
      </c>
      <c r="AN82" s="53">
        <v>87.2</v>
      </c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</row>
    <row r="83" spans="1:65" s="58" customFormat="1">
      <c r="A83" s="53" t="s">
        <v>1232</v>
      </c>
      <c r="B83" s="53">
        <v>46.2</v>
      </c>
      <c r="C83" s="205">
        <v>217.42624167646824</v>
      </c>
      <c r="D83" s="53">
        <v>0.1249</v>
      </c>
      <c r="E83" s="53">
        <v>30.4</v>
      </c>
      <c r="F83" s="53">
        <v>500</v>
      </c>
      <c r="G83" s="53" t="s">
        <v>1239</v>
      </c>
      <c r="H83" s="53"/>
      <c r="I83" s="71" t="s">
        <v>92</v>
      </c>
      <c r="J83" s="53">
        <v>359</v>
      </c>
      <c r="K83" s="53">
        <v>67</v>
      </c>
      <c r="L83" s="71"/>
      <c r="M83" s="53"/>
      <c r="N83" s="53"/>
      <c r="O83" s="71"/>
      <c r="P83" s="53"/>
      <c r="Q83" s="53"/>
      <c r="R83" s="71" t="s">
        <v>602</v>
      </c>
      <c r="S83" s="53">
        <v>70</v>
      </c>
      <c r="T83" s="53">
        <v>40</v>
      </c>
      <c r="U83" s="53"/>
      <c r="V83" s="204" t="s">
        <v>244</v>
      </c>
      <c r="W83" s="53">
        <v>36</v>
      </c>
      <c r="X83" s="53">
        <v>21</v>
      </c>
      <c r="Y83" s="53"/>
      <c r="Z83" s="204" t="s">
        <v>371</v>
      </c>
      <c r="AA83" s="53">
        <v>244</v>
      </c>
      <c r="AB83" s="53">
        <v>63</v>
      </c>
      <c r="AC83" s="53" t="s">
        <v>167</v>
      </c>
      <c r="AD83" s="53" t="s">
        <v>66</v>
      </c>
      <c r="AE83" s="53" t="s">
        <v>168</v>
      </c>
      <c r="AF83" s="59"/>
      <c r="AG83" s="69"/>
      <c r="AH83" s="186">
        <v>289.35000000000002</v>
      </c>
      <c r="AI83" s="186">
        <v>50.375</v>
      </c>
      <c r="AJ83" s="53">
        <v>36.9</v>
      </c>
      <c r="AK83" s="53">
        <v>-27.4</v>
      </c>
      <c r="AL83" s="53">
        <v>345.8</v>
      </c>
      <c r="AM83" s="53">
        <v>54.8</v>
      </c>
      <c r="AN83" s="53">
        <v>83.7</v>
      </c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</row>
    <row r="84" spans="1:65" s="58" customFormat="1">
      <c r="A84" s="53" t="s">
        <v>1232</v>
      </c>
      <c r="B84" s="53">
        <v>47.1</v>
      </c>
      <c r="C84" s="205">
        <v>225.9685615144594</v>
      </c>
      <c r="D84" s="53">
        <v>6.7000000000000004E-2</v>
      </c>
      <c r="E84" s="53">
        <v>28.7</v>
      </c>
      <c r="F84" s="53"/>
      <c r="G84" s="53" t="s">
        <v>1240</v>
      </c>
      <c r="H84" s="53"/>
      <c r="I84" s="71" t="s">
        <v>85</v>
      </c>
      <c r="J84" s="53">
        <v>61</v>
      </c>
      <c r="K84" s="53">
        <v>70</v>
      </c>
      <c r="L84" s="71"/>
      <c r="M84" s="53"/>
      <c r="N84" s="53"/>
      <c r="O84" s="71"/>
      <c r="P84" s="53"/>
      <c r="Q84" s="53"/>
      <c r="R84" s="71"/>
      <c r="S84" s="53"/>
      <c r="T84" s="53"/>
      <c r="U84" s="53">
        <v>2.5</v>
      </c>
      <c r="V84" s="53" t="s">
        <v>1241</v>
      </c>
      <c r="W84" s="53">
        <v>40</v>
      </c>
      <c r="X84" s="53">
        <v>-2</v>
      </c>
      <c r="Y84" s="204" t="s">
        <v>1242</v>
      </c>
      <c r="Z84" s="53"/>
      <c r="AA84" s="53"/>
      <c r="AB84" s="53"/>
      <c r="AC84" s="53" t="s">
        <v>469</v>
      </c>
      <c r="AD84" s="53"/>
      <c r="AE84" s="53" t="s">
        <v>168</v>
      </c>
      <c r="AF84" s="59"/>
      <c r="AG84" s="69"/>
      <c r="AH84" s="186">
        <v>299.39999999999998</v>
      </c>
      <c r="AI84" s="186">
        <v>49</v>
      </c>
      <c r="AJ84" s="53">
        <v>46</v>
      </c>
      <c r="AK84" s="53">
        <v>-49.8</v>
      </c>
      <c r="AL84" s="7"/>
      <c r="AM84" s="7"/>
      <c r="AN84" s="53">
        <v>73.8</v>
      </c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53"/>
    </row>
    <row r="85" spans="1:65" s="58" customFormat="1">
      <c r="A85" s="53" t="s">
        <v>1232</v>
      </c>
      <c r="B85" s="53">
        <v>47.2</v>
      </c>
      <c r="C85" s="205">
        <v>225.9685615144594</v>
      </c>
      <c r="D85" s="53">
        <v>6.1499999999999999E-2</v>
      </c>
      <c r="E85" s="53">
        <v>31.1</v>
      </c>
      <c r="F85" s="53">
        <v>500</v>
      </c>
      <c r="G85" s="53" t="s">
        <v>1243</v>
      </c>
      <c r="H85" s="53"/>
      <c r="I85" s="71"/>
      <c r="J85" s="53"/>
      <c r="K85" s="53"/>
      <c r="L85" s="71"/>
      <c r="M85" s="53"/>
      <c r="N85" s="53"/>
      <c r="O85" s="71"/>
      <c r="P85" s="53"/>
      <c r="Q85" s="53"/>
      <c r="R85" s="71" t="s">
        <v>602</v>
      </c>
      <c r="S85" s="53">
        <v>135</v>
      </c>
      <c r="T85" s="53">
        <v>20</v>
      </c>
      <c r="U85" s="53">
        <v>3</v>
      </c>
      <c r="V85" s="204" t="s">
        <v>222</v>
      </c>
      <c r="W85" s="53">
        <v>69</v>
      </c>
      <c r="X85" s="53">
        <v>53</v>
      </c>
      <c r="Y85" s="53" t="s">
        <v>1244</v>
      </c>
      <c r="Z85" s="204" t="s">
        <v>1202</v>
      </c>
      <c r="AA85" s="53">
        <v>310</v>
      </c>
      <c r="AB85" s="53">
        <v>30</v>
      </c>
      <c r="AC85" s="53" t="s">
        <v>159</v>
      </c>
      <c r="AD85" s="53" t="s">
        <v>66</v>
      </c>
      <c r="AE85" s="53" t="s">
        <v>67</v>
      </c>
      <c r="AF85" s="59"/>
      <c r="AG85" s="69"/>
      <c r="AH85" s="186">
        <v>299.39999999999998</v>
      </c>
      <c r="AI85" s="186">
        <v>49</v>
      </c>
      <c r="AJ85" s="53">
        <v>52.3</v>
      </c>
      <c r="AK85" s="53">
        <v>10</v>
      </c>
      <c r="AL85" s="53">
        <v>328.9</v>
      </c>
      <c r="AM85" s="53">
        <v>12</v>
      </c>
      <c r="AN85" s="53"/>
      <c r="AO85" s="53">
        <v>52</v>
      </c>
      <c r="AP85" s="53">
        <v>-29.6</v>
      </c>
      <c r="AQ85" s="53">
        <v>81.599999999999994</v>
      </c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</row>
    <row r="86" spans="1:65" s="58" customFormat="1">
      <c r="A86" s="53" t="s">
        <v>1232</v>
      </c>
      <c r="B86" s="53">
        <v>48.1</v>
      </c>
      <c r="C86" s="205">
        <v>231.30191322035321</v>
      </c>
      <c r="D86" s="53">
        <v>1.9E-2</v>
      </c>
      <c r="E86" s="53">
        <v>21.8</v>
      </c>
      <c r="F86" s="53"/>
      <c r="G86" s="53" t="s">
        <v>1245</v>
      </c>
      <c r="H86" s="53"/>
      <c r="I86" s="71"/>
      <c r="J86" s="53"/>
      <c r="K86" s="53"/>
      <c r="L86" s="71"/>
      <c r="M86" s="53"/>
      <c r="N86" s="53"/>
      <c r="O86" s="71"/>
      <c r="P86" s="53"/>
      <c r="Q86" s="53"/>
      <c r="R86" s="71" t="s">
        <v>85</v>
      </c>
      <c r="S86" s="53">
        <v>275</v>
      </c>
      <c r="T86" s="53">
        <v>11</v>
      </c>
      <c r="U86" s="53">
        <v>1</v>
      </c>
      <c r="V86" s="53"/>
      <c r="W86" s="53"/>
      <c r="X86" s="53"/>
      <c r="Y86" s="53"/>
      <c r="Z86" s="53"/>
      <c r="AA86" s="53"/>
      <c r="AB86" s="53"/>
      <c r="AC86" s="53" t="s">
        <v>412</v>
      </c>
      <c r="AD86" s="53"/>
      <c r="AE86" s="53" t="s">
        <v>181</v>
      </c>
      <c r="AF86" s="59"/>
      <c r="AG86" s="69"/>
      <c r="AH86" s="186">
        <v>299.39999999999998</v>
      </c>
      <c r="AI86" s="186">
        <v>49</v>
      </c>
      <c r="AJ86" s="53"/>
      <c r="AK86" s="53"/>
      <c r="AL86" s="7"/>
      <c r="AM86" s="7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  <c r="BI86" s="53"/>
      <c r="BJ86" s="53"/>
      <c r="BK86" s="53"/>
      <c r="BL86" s="53"/>
      <c r="BM86" s="53"/>
    </row>
    <row r="87" spans="1:65" s="58" customFormat="1">
      <c r="A87" s="53" t="s">
        <v>1232</v>
      </c>
      <c r="B87" s="53">
        <v>48.2</v>
      </c>
      <c r="C87" s="205">
        <v>231.30191322035321</v>
      </c>
      <c r="D87" s="53">
        <v>2.4199999999999999E-2</v>
      </c>
      <c r="E87" s="53">
        <v>22.6</v>
      </c>
      <c r="F87" s="53"/>
      <c r="G87" s="53" t="s">
        <v>1246</v>
      </c>
      <c r="H87" s="53"/>
      <c r="I87" s="71"/>
      <c r="J87" s="53"/>
      <c r="K87" s="53"/>
      <c r="L87" s="71"/>
      <c r="M87" s="53"/>
      <c r="N87" s="53"/>
      <c r="O87" s="71"/>
      <c r="P87" s="53"/>
      <c r="Q87" s="53"/>
      <c r="R87" s="71" t="s">
        <v>92</v>
      </c>
      <c r="S87" s="53">
        <v>282</v>
      </c>
      <c r="T87" s="53">
        <v>18</v>
      </c>
      <c r="U87" s="53">
        <v>0.8</v>
      </c>
      <c r="V87" s="204" t="s">
        <v>678</v>
      </c>
      <c r="W87" s="53">
        <v>51</v>
      </c>
      <c r="X87" s="53">
        <v>21</v>
      </c>
      <c r="Y87" s="53" t="s">
        <v>1247</v>
      </c>
      <c r="Z87" s="204" t="s">
        <v>64</v>
      </c>
      <c r="AA87" s="53">
        <v>352</v>
      </c>
      <c r="AB87" s="53">
        <v>-39</v>
      </c>
      <c r="AC87" s="53" t="s">
        <v>167</v>
      </c>
      <c r="AD87" s="53" t="s">
        <v>66</v>
      </c>
      <c r="AE87" s="53" t="s">
        <v>168</v>
      </c>
      <c r="AF87" s="59"/>
      <c r="AG87" s="69"/>
      <c r="AH87" s="186">
        <v>299.39999999999998</v>
      </c>
      <c r="AI87" s="186">
        <v>49</v>
      </c>
      <c r="AJ87" s="53">
        <v>51.7</v>
      </c>
      <c r="AK87" s="53">
        <v>-24.8</v>
      </c>
      <c r="AL87" s="53">
        <v>291</v>
      </c>
      <c r="AM87" s="53">
        <v>-61.5</v>
      </c>
      <c r="AN87" s="53">
        <v>81.8</v>
      </c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</row>
    <row r="88" spans="1:65" s="58" customFormat="1">
      <c r="A88" s="53" t="s">
        <v>1232</v>
      </c>
      <c r="B88" s="53">
        <v>49.1</v>
      </c>
      <c r="C88" s="205">
        <v>233.30191322035321</v>
      </c>
      <c r="D88" s="53">
        <v>0.111</v>
      </c>
      <c r="E88" s="53">
        <v>21.5</v>
      </c>
      <c r="F88" s="53"/>
      <c r="G88" s="53" t="s">
        <v>1240</v>
      </c>
      <c r="H88" s="53"/>
      <c r="I88" s="71" t="s">
        <v>92</v>
      </c>
      <c r="J88" s="53">
        <v>37</v>
      </c>
      <c r="K88" s="53">
        <v>66</v>
      </c>
      <c r="L88" s="71"/>
      <c r="M88" s="53"/>
      <c r="N88" s="53"/>
      <c r="O88" s="71"/>
      <c r="P88" s="53"/>
      <c r="Q88" s="53"/>
      <c r="R88" s="71"/>
      <c r="S88" s="53"/>
      <c r="T88" s="53"/>
      <c r="U88" s="53">
        <v>2.2000000000000002</v>
      </c>
      <c r="V88" s="53"/>
      <c r="W88" s="53"/>
      <c r="X88" s="53"/>
      <c r="Y88" s="204" t="s">
        <v>1248</v>
      </c>
      <c r="Z88" s="204" t="s">
        <v>120</v>
      </c>
      <c r="AA88" s="53">
        <v>339</v>
      </c>
      <c r="AB88" s="53">
        <v>-28</v>
      </c>
      <c r="AC88" s="53" t="s">
        <v>159</v>
      </c>
      <c r="AD88" s="53" t="s">
        <v>66</v>
      </c>
      <c r="AE88" s="53" t="s">
        <v>67</v>
      </c>
      <c r="AF88" s="59"/>
      <c r="AG88" s="69"/>
      <c r="AH88" s="186">
        <v>299.39999999999998</v>
      </c>
      <c r="AI88" s="186">
        <v>49</v>
      </c>
      <c r="AJ88" s="7"/>
      <c r="AK88" s="7"/>
      <c r="AL88" s="53">
        <v>300.7</v>
      </c>
      <c r="AM88" s="53">
        <v>-47.1</v>
      </c>
      <c r="AN88" s="53"/>
      <c r="AO88" s="53">
        <v>51.9</v>
      </c>
      <c r="AP88" s="53">
        <v>-18.5</v>
      </c>
      <c r="AQ88" s="53">
        <v>80.3</v>
      </c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</row>
    <row r="89" spans="1:65" s="58" customFormat="1">
      <c r="A89" s="53" t="s">
        <v>1232</v>
      </c>
      <c r="B89" s="53">
        <v>49.2</v>
      </c>
      <c r="C89" s="205">
        <v>233.30191322035321</v>
      </c>
      <c r="D89" s="53">
        <v>7.6499999999999999E-2</v>
      </c>
      <c r="E89" s="53">
        <v>19.899999999999999</v>
      </c>
      <c r="F89" s="53"/>
      <c r="G89" s="53" t="s">
        <v>1249</v>
      </c>
      <c r="H89" s="53"/>
      <c r="I89" s="71"/>
      <c r="J89" s="53"/>
      <c r="K89" s="53"/>
      <c r="L89" s="71" t="s">
        <v>418</v>
      </c>
      <c r="M89" s="53">
        <v>154</v>
      </c>
      <c r="N89" s="53">
        <v>-38</v>
      </c>
      <c r="O89" s="71"/>
      <c r="P89" s="53"/>
      <c r="Q89" s="53"/>
      <c r="R89" s="7"/>
      <c r="S89" s="7"/>
      <c r="T89" s="7"/>
      <c r="U89" s="53">
        <v>1.4</v>
      </c>
      <c r="V89" s="53" t="s">
        <v>1036</v>
      </c>
      <c r="W89" s="53">
        <v>52</v>
      </c>
      <c r="X89" s="53">
        <v>31</v>
      </c>
      <c r="Y89" s="53" t="s">
        <v>1250</v>
      </c>
      <c r="Z89" s="204" t="s">
        <v>180</v>
      </c>
      <c r="AA89" s="53">
        <v>311</v>
      </c>
      <c r="AB89" s="53">
        <v>-22</v>
      </c>
      <c r="AC89" s="53" t="s">
        <v>167</v>
      </c>
      <c r="AD89" s="53" t="s">
        <v>66</v>
      </c>
      <c r="AE89" s="53" t="s">
        <v>168</v>
      </c>
      <c r="AF89" s="59"/>
      <c r="AG89" s="69"/>
      <c r="AH89" s="186">
        <v>299.39999999999998</v>
      </c>
      <c r="AI89" s="186">
        <v>49</v>
      </c>
      <c r="AJ89" s="53">
        <v>49.3</v>
      </c>
      <c r="AK89" s="53">
        <v>-15</v>
      </c>
      <c r="AL89" s="53">
        <v>289.39999999999998</v>
      </c>
      <c r="AM89" s="53">
        <v>-22.7</v>
      </c>
      <c r="AN89" s="53">
        <v>81</v>
      </c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</row>
    <row r="90" spans="1:65">
      <c r="A90" s="53" t="s">
        <v>1037</v>
      </c>
      <c r="B90" s="53">
        <v>50.1</v>
      </c>
      <c r="C90" s="205">
        <v>76.300000000000011</v>
      </c>
      <c r="D90" s="53">
        <v>0.13200000000000001</v>
      </c>
      <c r="E90" s="53">
        <v>17.2</v>
      </c>
      <c r="F90" s="53">
        <v>450</v>
      </c>
      <c r="G90" s="53" t="s">
        <v>1056</v>
      </c>
      <c r="H90" s="53"/>
      <c r="I90" s="71"/>
      <c r="J90" s="53"/>
      <c r="K90" s="53"/>
      <c r="O90" s="71"/>
      <c r="P90" s="53"/>
      <c r="Q90" s="53"/>
      <c r="R90" s="71"/>
      <c r="S90" s="53"/>
      <c r="T90" s="53"/>
      <c r="U90" s="53">
        <v>1.4</v>
      </c>
      <c r="V90" s="71" t="s">
        <v>1251</v>
      </c>
      <c r="W90" s="53">
        <v>216</v>
      </c>
      <c r="X90" s="53">
        <v>-29</v>
      </c>
      <c r="Y90" s="53"/>
      <c r="Z90" s="53"/>
      <c r="AA90" s="53"/>
      <c r="AB90" s="53"/>
      <c r="AC90" s="53" t="s">
        <v>113</v>
      </c>
      <c r="AD90" s="53"/>
      <c r="AE90" s="53" t="s">
        <v>123</v>
      </c>
      <c r="AF90" s="72"/>
      <c r="AG90" s="202"/>
      <c r="AH90" s="186">
        <v>297.39999999999998</v>
      </c>
      <c r="AI90" s="186">
        <v>49</v>
      </c>
      <c r="AJ90" s="53">
        <v>215.4</v>
      </c>
      <c r="AK90" s="53">
        <v>19.5</v>
      </c>
      <c r="AL90" s="53"/>
      <c r="AM90" s="53"/>
      <c r="AN90" s="53">
        <v>-80.900000000000006</v>
      </c>
    </row>
    <row r="91" spans="1:65">
      <c r="A91" s="53" t="s">
        <v>1037</v>
      </c>
      <c r="B91" s="53">
        <v>51.1</v>
      </c>
      <c r="C91" s="205">
        <v>77.3</v>
      </c>
      <c r="D91" s="141">
        <v>0.11</v>
      </c>
      <c r="E91" s="53">
        <v>11.7</v>
      </c>
      <c r="F91" s="53">
        <v>450</v>
      </c>
      <c r="G91" s="53" t="s">
        <v>1252</v>
      </c>
      <c r="H91" s="53"/>
      <c r="I91" s="71"/>
      <c r="J91" s="53"/>
      <c r="K91" s="53"/>
      <c r="L91" s="71"/>
      <c r="M91" s="53"/>
      <c r="N91" s="53"/>
      <c r="O91" s="71"/>
      <c r="P91" s="53"/>
      <c r="Q91" s="53"/>
      <c r="R91" s="203" t="s">
        <v>1253</v>
      </c>
      <c r="S91" s="53">
        <v>113</v>
      </c>
      <c r="T91" s="53">
        <v>-22</v>
      </c>
      <c r="U91" s="53">
        <v>1.2</v>
      </c>
      <c r="V91" s="53"/>
      <c r="W91" s="53"/>
      <c r="X91" s="53"/>
      <c r="Y91" s="53"/>
      <c r="Z91" s="53"/>
      <c r="AA91" s="53"/>
      <c r="AB91" s="53"/>
      <c r="AC91" s="53" t="s">
        <v>412</v>
      </c>
      <c r="AD91" s="53"/>
      <c r="AE91" s="53" t="s">
        <v>181</v>
      </c>
      <c r="AF91" s="201"/>
      <c r="AG91" s="202"/>
      <c r="AH91" s="186">
        <v>297.39999999999998</v>
      </c>
      <c r="AI91" s="186">
        <v>49</v>
      </c>
      <c r="AJ91" s="53"/>
      <c r="AK91" s="53"/>
      <c r="AL91" s="53"/>
      <c r="AM91" s="53"/>
    </row>
    <row r="92" spans="1:65">
      <c r="A92" s="53" t="s">
        <v>1037</v>
      </c>
      <c r="B92" s="53">
        <v>52.1</v>
      </c>
      <c r="C92" s="205">
        <v>80.5</v>
      </c>
      <c r="D92" s="53">
        <v>5.2999999999999999E-2</v>
      </c>
      <c r="E92" s="53">
        <v>17.399999999999999</v>
      </c>
      <c r="F92" s="53">
        <v>400</v>
      </c>
      <c r="G92" s="53" t="s">
        <v>1254</v>
      </c>
      <c r="H92" s="53"/>
      <c r="I92" s="71" t="s">
        <v>85</v>
      </c>
      <c r="J92" s="53">
        <v>274</v>
      </c>
      <c r="K92" s="53">
        <v>72</v>
      </c>
      <c r="R92" s="71"/>
      <c r="S92" s="53"/>
      <c r="T92" s="53"/>
      <c r="U92" s="53"/>
      <c r="V92" s="203" t="s">
        <v>130</v>
      </c>
      <c r="W92" s="53">
        <v>332</v>
      </c>
      <c r="X92" s="53">
        <v>18</v>
      </c>
      <c r="Y92" s="53" t="s">
        <v>1081</v>
      </c>
      <c r="Z92" s="204" t="s">
        <v>414</v>
      </c>
      <c r="AA92" s="53">
        <v>1</v>
      </c>
      <c r="AB92" s="53">
        <v>-62</v>
      </c>
      <c r="AC92" s="53" t="s">
        <v>105</v>
      </c>
      <c r="AD92" s="53" t="s">
        <v>66</v>
      </c>
      <c r="AE92" s="53" t="s">
        <v>586</v>
      </c>
      <c r="AF92" s="59"/>
      <c r="AG92" s="202"/>
      <c r="AH92" s="186">
        <v>275.39999999999998</v>
      </c>
      <c r="AI92" s="186">
        <v>55</v>
      </c>
      <c r="AJ92" s="53">
        <v>328.9</v>
      </c>
      <c r="AK92" s="53">
        <v>-28.2</v>
      </c>
      <c r="AL92" s="53">
        <v>189.9</v>
      </c>
      <c r="AM92" s="53">
        <v>-62.9</v>
      </c>
      <c r="AO92" s="53">
        <v>42.2</v>
      </c>
      <c r="AP92" s="53">
        <v>-23.4</v>
      </c>
      <c r="AQ92" s="53">
        <v>87.3</v>
      </c>
    </row>
    <row r="93" spans="1:65" s="206" customFormat="1">
      <c r="A93" s="215" t="s">
        <v>1255</v>
      </c>
      <c r="B93" s="215">
        <v>53.1</v>
      </c>
      <c r="C93" s="205">
        <v>68.304505026169295</v>
      </c>
      <c r="D93" s="53">
        <v>7.1999999999999995E-2</v>
      </c>
      <c r="E93" s="53">
        <v>31.9</v>
      </c>
      <c r="F93" s="53">
        <v>450</v>
      </c>
      <c r="G93" s="53" t="s">
        <v>1256</v>
      </c>
      <c r="H93" s="53"/>
      <c r="I93" s="71"/>
      <c r="J93" s="53"/>
      <c r="K93" s="53"/>
      <c r="L93" s="71"/>
      <c r="M93" s="53"/>
      <c r="N93" s="53"/>
      <c r="O93" s="71"/>
      <c r="P93" s="53"/>
      <c r="Q93" s="53"/>
      <c r="R93" s="203" t="s">
        <v>180</v>
      </c>
      <c r="S93" s="53">
        <v>125</v>
      </c>
      <c r="T93" s="53">
        <v>41</v>
      </c>
      <c r="U93" s="53">
        <v>1.2</v>
      </c>
      <c r="V93" s="53"/>
      <c r="W93" s="53"/>
      <c r="X93" s="53"/>
      <c r="Y93" s="53"/>
      <c r="Z93" s="53"/>
      <c r="AA93" s="53"/>
      <c r="AB93" s="53"/>
      <c r="AC93" s="53" t="s">
        <v>412</v>
      </c>
      <c r="AD93" s="53"/>
      <c r="AE93" s="53" t="s">
        <v>181</v>
      </c>
      <c r="AF93" s="201"/>
      <c r="AG93" s="202"/>
      <c r="AH93" s="186">
        <v>270.39999999999998</v>
      </c>
      <c r="AI93" s="186">
        <v>30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53"/>
    </row>
    <row r="94" spans="1:65" s="206" customFormat="1">
      <c r="A94" s="215" t="s">
        <v>1255</v>
      </c>
      <c r="B94" s="215" t="s">
        <v>1257</v>
      </c>
      <c r="C94" s="205">
        <v>68.304505026169295</v>
      </c>
      <c r="D94" s="53">
        <v>2.4E-2</v>
      </c>
      <c r="E94" s="53"/>
      <c r="F94" s="53">
        <v>325</v>
      </c>
      <c r="G94" s="53">
        <v>375</v>
      </c>
      <c r="H94" s="53"/>
      <c r="I94" s="71"/>
      <c r="J94" s="53"/>
      <c r="K94" s="53"/>
      <c r="L94" s="7" t="s">
        <v>1258</v>
      </c>
      <c r="M94" s="7">
        <v>182</v>
      </c>
      <c r="N94" s="7">
        <v>-24</v>
      </c>
      <c r="O94" s="203"/>
      <c r="P94" s="53"/>
      <c r="Q94" s="53"/>
      <c r="R94" s="71"/>
      <c r="S94" s="53"/>
      <c r="T94" s="53"/>
      <c r="U94" s="53"/>
      <c r="V94" s="7"/>
      <c r="W94" s="7"/>
      <c r="X94" s="7"/>
      <c r="Y94" s="53" t="s">
        <v>1259</v>
      </c>
      <c r="Z94" s="7"/>
      <c r="AA94" s="7"/>
      <c r="AB94" s="7"/>
      <c r="AC94" s="53" t="s">
        <v>190</v>
      </c>
      <c r="AD94" s="53"/>
      <c r="AE94" s="53" t="s">
        <v>181</v>
      </c>
      <c r="AF94" s="201"/>
      <c r="AG94" s="202"/>
      <c r="AH94" s="186">
        <v>270.39999999999998</v>
      </c>
      <c r="AI94" s="186">
        <v>30</v>
      </c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</row>
    <row r="95" spans="1:65" s="58" customFormat="1">
      <c r="A95" s="215" t="s">
        <v>1255</v>
      </c>
      <c r="B95" s="215">
        <v>54.1</v>
      </c>
      <c r="C95" s="205">
        <v>66.759390801439139</v>
      </c>
      <c r="D95" s="53">
        <v>4.3999999999999997E-2</v>
      </c>
      <c r="E95" s="53">
        <v>32.700000000000003</v>
      </c>
      <c r="F95" s="53"/>
      <c r="G95" s="53" t="s">
        <v>1260</v>
      </c>
      <c r="H95" s="53"/>
      <c r="I95" s="71"/>
      <c r="J95" s="53"/>
      <c r="K95" s="53"/>
      <c r="L95" s="71"/>
      <c r="M95" s="53"/>
      <c r="N95" s="53"/>
      <c r="O95" s="71"/>
      <c r="P95" s="53"/>
      <c r="Q95" s="53"/>
      <c r="R95" s="7"/>
      <c r="S95" s="7"/>
      <c r="T95" s="7"/>
      <c r="U95" s="7">
        <v>3</v>
      </c>
      <c r="V95" s="204" t="s">
        <v>1261</v>
      </c>
      <c r="W95" s="53">
        <v>358</v>
      </c>
      <c r="X95" s="53">
        <v>-14</v>
      </c>
      <c r="Y95" s="7" t="s">
        <v>1262</v>
      </c>
      <c r="Z95" s="53" t="s">
        <v>1263</v>
      </c>
      <c r="AA95" s="53">
        <v>105</v>
      </c>
      <c r="AB95" s="53">
        <v>-17</v>
      </c>
      <c r="AC95" s="53" t="s">
        <v>113</v>
      </c>
      <c r="AD95" s="53" t="s">
        <v>87</v>
      </c>
      <c r="AE95" s="53" t="s">
        <v>67</v>
      </c>
      <c r="AF95" s="59"/>
      <c r="AG95" s="69"/>
      <c r="AH95" s="186">
        <v>270.39999999999998</v>
      </c>
      <c r="AI95" s="186">
        <v>30</v>
      </c>
      <c r="AJ95" s="53">
        <v>41.2</v>
      </c>
      <c r="AK95" s="53">
        <v>-36.299999999999997</v>
      </c>
      <c r="AL95" s="53">
        <v>113.7</v>
      </c>
      <c r="AM95" s="53">
        <v>21.9</v>
      </c>
      <c r="AN95" s="53">
        <v>84</v>
      </c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</row>
    <row r="96" spans="1:65" s="58" customFormat="1">
      <c r="A96" s="215" t="s">
        <v>1255</v>
      </c>
      <c r="B96" s="215">
        <v>54.2</v>
      </c>
      <c r="C96" s="205">
        <v>66.759390801439139</v>
      </c>
      <c r="D96" s="53">
        <v>3.4700000000000002E-2</v>
      </c>
      <c r="E96" s="53">
        <v>38</v>
      </c>
      <c r="F96" s="53"/>
      <c r="G96" s="53" t="s">
        <v>1264</v>
      </c>
      <c r="H96" s="53"/>
      <c r="I96" s="71"/>
      <c r="J96" s="53"/>
      <c r="K96" s="53"/>
      <c r="L96" s="71" t="s">
        <v>1265</v>
      </c>
      <c r="M96" s="53">
        <v>180</v>
      </c>
      <c r="N96" s="53">
        <v>-40</v>
      </c>
      <c r="O96" s="71"/>
      <c r="P96" s="53"/>
      <c r="Q96" s="53"/>
      <c r="R96" s="71" t="s">
        <v>59</v>
      </c>
      <c r="S96" s="53">
        <v>86</v>
      </c>
      <c r="T96" s="53">
        <v>10</v>
      </c>
      <c r="U96" s="53">
        <v>1.4</v>
      </c>
      <c r="V96" s="204" t="s">
        <v>694</v>
      </c>
      <c r="W96" s="53">
        <v>33</v>
      </c>
      <c r="X96" s="53">
        <v>-12</v>
      </c>
      <c r="Y96" s="53" t="s">
        <v>1266</v>
      </c>
      <c r="Z96" s="204" t="s">
        <v>1267</v>
      </c>
      <c r="AA96" s="53">
        <v>121</v>
      </c>
      <c r="AB96" s="53">
        <v>8</v>
      </c>
      <c r="AC96" s="53" t="s">
        <v>65</v>
      </c>
      <c r="AD96" s="53" t="s">
        <v>66</v>
      </c>
      <c r="AE96" s="53" t="s">
        <v>168</v>
      </c>
      <c r="AF96" s="59"/>
      <c r="AG96" s="69"/>
      <c r="AH96" s="186">
        <v>270.39999999999998</v>
      </c>
      <c r="AI96" s="186">
        <v>30</v>
      </c>
      <c r="AJ96" s="53">
        <v>357.2</v>
      </c>
      <c r="AK96" s="53">
        <v>-44</v>
      </c>
      <c r="AL96" s="53">
        <v>111.4</v>
      </c>
      <c r="AM96" s="53">
        <v>-7.6</v>
      </c>
      <c r="AN96" s="53"/>
      <c r="AO96" s="53">
        <v>17.600000000000001</v>
      </c>
      <c r="AP96" s="53">
        <v>-26.5</v>
      </c>
      <c r="AQ96" s="53">
        <v>65</v>
      </c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</row>
    <row r="97" spans="1:65">
      <c r="A97" s="215" t="s">
        <v>1255</v>
      </c>
      <c r="B97" s="215">
        <v>55.1</v>
      </c>
      <c r="C97" s="205">
        <v>58.518781602878271</v>
      </c>
      <c r="D97" s="53">
        <v>8.5999999999999993E-2</v>
      </c>
      <c r="E97" s="53">
        <v>39.6</v>
      </c>
      <c r="F97" s="53"/>
      <c r="G97" s="53" t="s">
        <v>1268</v>
      </c>
      <c r="H97" s="53"/>
      <c r="I97" s="71"/>
      <c r="J97" s="53"/>
      <c r="K97" s="53"/>
      <c r="O97" s="71"/>
      <c r="P97" s="53"/>
      <c r="Q97" s="53"/>
      <c r="R97" s="203" t="s">
        <v>313</v>
      </c>
      <c r="S97" s="53">
        <v>276</v>
      </c>
      <c r="T97" s="53">
        <v>-6</v>
      </c>
      <c r="U97" s="53">
        <v>1</v>
      </c>
      <c r="V97" s="53"/>
      <c r="W97" s="53"/>
      <c r="X97" s="53"/>
      <c r="Y97" s="53"/>
      <c r="Z97" s="53"/>
      <c r="AA97" s="53"/>
      <c r="AB97" s="53"/>
      <c r="AC97" s="53" t="s">
        <v>412</v>
      </c>
      <c r="AD97" s="53"/>
      <c r="AE97" s="53" t="s">
        <v>181</v>
      </c>
      <c r="AF97" s="201"/>
      <c r="AG97" s="202"/>
      <c r="AH97" s="186">
        <v>269.39999999999998</v>
      </c>
      <c r="AI97" s="186">
        <v>29</v>
      </c>
      <c r="AJ97" s="53"/>
      <c r="AK97" s="53"/>
      <c r="AL97" s="53"/>
      <c r="AM97" s="53"/>
    </row>
    <row r="98" spans="1:65" s="58" customFormat="1">
      <c r="A98" s="215" t="s">
        <v>1255</v>
      </c>
      <c r="B98" s="215">
        <v>56.1</v>
      </c>
      <c r="C98" s="205">
        <v>52.595843741412651</v>
      </c>
      <c r="D98" s="53">
        <v>0.126</v>
      </c>
      <c r="E98" s="53">
        <v>33.1</v>
      </c>
      <c r="F98" s="53">
        <v>300</v>
      </c>
      <c r="G98" s="53" t="s">
        <v>1269</v>
      </c>
      <c r="H98" s="53"/>
      <c r="I98" s="71" t="s">
        <v>92</v>
      </c>
      <c r="J98" s="53">
        <v>31</v>
      </c>
      <c r="K98" s="53">
        <v>61</v>
      </c>
      <c r="L98" s="71"/>
      <c r="M98" s="53"/>
      <c r="N98" s="53"/>
      <c r="O98" s="71"/>
      <c r="P98" s="53"/>
      <c r="Q98" s="53"/>
      <c r="R98" s="71" t="s">
        <v>1270</v>
      </c>
      <c r="S98" s="53">
        <v>82</v>
      </c>
      <c r="T98" s="53">
        <v>34</v>
      </c>
      <c r="U98" s="53">
        <v>3</v>
      </c>
      <c r="V98" s="53"/>
      <c r="W98" s="53"/>
      <c r="X98" s="53"/>
      <c r="Y98" s="204" t="s">
        <v>1271</v>
      </c>
      <c r="Z98" s="53"/>
      <c r="AA98" s="53"/>
      <c r="AB98" s="53"/>
      <c r="AC98" s="53" t="s">
        <v>412</v>
      </c>
      <c r="AD98" s="53"/>
      <c r="AE98" s="53" t="s">
        <v>181</v>
      </c>
      <c r="AF98" s="201"/>
      <c r="AG98" s="202"/>
      <c r="AH98" s="186">
        <v>268.39999999999998</v>
      </c>
      <c r="AI98" s="186">
        <v>31</v>
      </c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  <c r="BI98" s="53"/>
      <c r="BJ98" s="53"/>
      <c r="BK98" s="53"/>
      <c r="BL98" s="53"/>
      <c r="BM98" s="53"/>
    </row>
    <row r="99" spans="1:65" s="58" customFormat="1">
      <c r="A99" s="215" t="s">
        <v>1255</v>
      </c>
      <c r="B99" s="215">
        <v>56.2</v>
      </c>
      <c r="C99" s="205">
        <v>52.595843741412651</v>
      </c>
      <c r="D99" s="53">
        <v>0.140488</v>
      </c>
      <c r="E99" s="53">
        <v>34.4</v>
      </c>
      <c r="F99" s="53"/>
      <c r="G99" s="53" t="s">
        <v>1272</v>
      </c>
      <c r="H99" s="53"/>
      <c r="I99" s="71" t="s">
        <v>524</v>
      </c>
      <c r="J99" s="53">
        <v>64</v>
      </c>
      <c r="K99" s="53">
        <v>49</v>
      </c>
      <c r="L99" s="71" t="s">
        <v>1273</v>
      </c>
      <c r="M99" s="53">
        <v>155</v>
      </c>
      <c r="N99" s="53">
        <v>-10</v>
      </c>
      <c r="O99" s="71"/>
      <c r="P99" s="53"/>
      <c r="Q99" s="53"/>
      <c r="R99" s="71" t="s">
        <v>1274</v>
      </c>
      <c r="S99" s="53">
        <v>84</v>
      </c>
      <c r="T99" s="53">
        <v>0</v>
      </c>
      <c r="U99" s="53">
        <v>2.5</v>
      </c>
      <c r="V99" s="53"/>
      <c r="W99" s="53"/>
      <c r="X99" s="53"/>
      <c r="Y99" s="53" t="s">
        <v>505</v>
      </c>
      <c r="Z99" s="53"/>
      <c r="AA99" s="53"/>
      <c r="AB99" s="53"/>
      <c r="AC99" s="53" t="s">
        <v>412</v>
      </c>
      <c r="AD99" s="53"/>
      <c r="AE99" s="53" t="s">
        <v>181</v>
      </c>
      <c r="AF99" s="201"/>
      <c r="AG99" s="202"/>
      <c r="AH99" s="186">
        <v>268.39999999999998</v>
      </c>
      <c r="AI99" s="186">
        <v>31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</row>
    <row r="100" spans="1:65" s="58" customFormat="1">
      <c r="A100" s="215" t="s">
        <v>1255</v>
      </c>
      <c r="B100" s="215">
        <v>57.1</v>
      </c>
      <c r="C100" s="205">
        <v>39.822899483643312</v>
      </c>
      <c r="D100" s="53">
        <v>1.1619999999999999</v>
      </c>
      <c r="E100" s="53">
        <v>30.3</v>
      </c>
      <c r="F100" s="53"/>
      <c r="G100" s="53" t="s">
        <v>1275</v>
      </c>
      <c r="H100" s="53"/>
      <c r="I100" s="71" t="s">
        <v>85</v>
      </c>
      <c r="J100" s="53">
        <v>85</v>
      </c>
      <c r="K100" s="53">
        <v>55</v>
      </c>
      <c r="L100" s="71"/>
      <c r="M100" s="53"/>
      <c r="N100" s="53"/>
      <c r="O100" s="71"/>
      <c r="P100" s="53"/>
      <c r="Q100" s="53"/>
      <c r="R100" s="71" t="s">
        <v>325</v>
      </c>
      <c r="S100" s="53">
        <v>82</v>
      </c>
      <c r="T100" s="53">
        <v>39</v>
      </c>
      <c r="U100" s="53">
        <v>4</v>
      </c>
      <c r="V100" s="53" t="s">
        <v>468</v>
      </c>
      <c r="W100" s="53">
        <v>19</v>
      </c>
      <c r="X100" s="53">
        <v>8</v>
      </c>
      <c r="Y100" s="53"/>
      <c r="Z100" s="204" t="s">
        <v>130</v>
      </c>
      <c r="AA100" s="53">
        <v>34</v>
      </c>
      <c r="AB100" s="53">
        <v>-64</v>
      </c>
      <c r="AC100" s="53" t="s">
        <v>113</v>
      </c>
      <c r="AD100" s="53" t="s">
        <v>66</v>
      </c>
      <c r="AE100" s="53" t="s">
        <v>328</v>
      </c>
      <c r="AF100" s="59"/>
      <c r="AG100" s="202"/>
      <c r="AH100" s="186">
        <v>267.39999999999998</v>
      </c>
      <c r="AI100" s="186">
        <v>32</v>
      </c>
      <c r="AJ100" s="53">
        <v>20.5</v>
      </c>
      <c r="AK100" s="53">
        <v>-21.7</v>
      </c>
      <c r="AL100" s="53">
        <v>121.6</v>
      </c>
      <c r="AM100" s="53">
        <v>-71.599999999999994</v>
      </c>
      <c r="AN100" s="53">
        <v>67.400000000000006</v>
      </c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</row>
    <row r="101" spans="1:65" s="58" customFormat="1">
      <c r="A101" s="215" t="s">
        <v>1255</v>
      </c>
      <c r="B101" s="215">
        <v>57.2</v>
      </c>
      <c r="C101" s="205">
        <v>39.822899483643312</v>
      </c>
      <c r="D101" s="53">
        <v>0.16389000000000001</v>
      </c>
      <c r="E101" s="53">
        <v>35.700000000000003</v>
      </c>
      <c r="F101" s="53"/>
      <c r="G101" s="53" t="s">
        <v>1276</v>
      </c>
      <c r="H101" s="53"/>
      <c r="I101" s="71"/>
      <c r="J101" s="53"/>
      <c r="K101" s="53"/>
      <c r="L101" s="203" t="s">
        <v>694</v>
      </c>
      <c r="M101" s="53">
        <v>153</v>
      </c>
      <c r="N101" s="53">
        <v>-35</v>
      </c>
      <c r="O101" s="71"/>
      <c r="P101" s="53"/>
      <c r="Q101" s="53"/>
      <c r="R101" s="71" t="s">
        <v>1277</v>
      </c>
      <c r="S101" s="53">
        <v>150</v>
      </c>
      <c r="T101" s="53">
        <v>50</v>
      </c>
      <c r="U101" s="53">
        <v>2.5</v>
      </c>
      <c r="V101" s="53"/>
      <c r="W101" s="53"/>
      <c r="X101" s="53"/>
      <c r="Y101" s="53"/>
      <c r="Z101" s="53" t="s">
        <v>1278</v>
      </c>
      <c r="AA101" s="53"/>
      <c r="AB101" s="53"/>
      <c r="AC101" s="53" t="s">
        <v>412</v>
      </c>
      <c r="AD101" s="53"/>
      <c r="AE101" s="53" t="s">
        <v>107</v>
      </c>
      <c r="AF101" s="59"/>
      <c r="AG101" s="202"/>
      <c r="AH101" s="186">
        <v>267.39999999999998</v>
      </c>
      <c r="AI101" s="186">
        <v>32</v>
      </c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  <c r="BL101" s="53"/>
      <c r="BM101" s="53"/>
    </row>
    <row r="102" spans="1:65" s="58" customFormat="1">
      <c r="A102" s="215" t="s">
        <v>1279</v>
      </c>
      <c r="B102" s="215">
        <v>60.1</v>
      </c>
      <c r="C102" s="205">
        <v>9.5</v>
      </c>
      <c r="D102" s="53">
        <v>4.2999999999999997E-2</v>
      </c>
      <c r="E102" s="53">
        <v>43.1</v>
      </c>
      <c r="F102" s="53"/>
      <c r="G102" s="53" t="s">
        <v>1280</v>
      </c>
      <c r="H102" s="53"/>
      <c r="I102" s="71"/>
      <c r="J102" s="53"/>
      <c r="K102" s="53"/>
      <c r="L102" s="71"/>
      <c r="M102" s="53"/>
      <c r="N102" s="53"/>
      <c r="O102" s="71"/>
      <c r="P102" s="53"/>
      <c r="Q102" s="53"/>
      <c r="R102" s="71" t="s">
        <v>147</v>
      </c>
      <c r="S102" s="71">
        <v>106</v>
      </c>
      <c r="T102" s="53">
        <v>-36</v>
      </c>
      <c r="U102" s="53">
        <v>2.5</v>
      </c>
      <c r="V102" s="204"/>
      <c r="W102" s="53"/>
      <c r="X102" s="53"/>
      <c r="Y102" s="53" t="s">
        <v>1281</v>
      </c>
      <c r="Z102" s="204" t="s">
        <v>104</v>
      </c>
      <c r="AA102" s="53">
        <v>143</v>
      </c>
      <c r="AB102" s="53">
        <v>45</v>
      </c>
      <c r="AC102" s="53" t="s">
        <v>137</v>
      </c>
      <c r="AD102" s="53" t="s">
        <v>66</v>
      </c>
      <c r="AE102" s="53" t="s">
        <v>181</v>
      </c>
      <c r="AF102" s="72"/>
      <c r="AG102" s="202"/>
      <c r="AH102" s="186">
        <v>267.39999999999998</v>
      </c>
      <c r="AI102" s="186">
        <v>32</v>
      </c>
      <c r="AJ102" s="53"/>
      <c r="AK102" s="53"/>
      <c r="AL102" s="53">
        <v>104.1</v>
      </c>
      <c r="AM102" s="53">
        <v>65.3</v>
      </c>
      <c r="AN102" s="53"/>
      <c r="AO102" s="53">
        <f>48.7+180</f>
        <v>228.7</v>
      </c>
      <c r="AP102" s="53">
        <v>14.6</v>
      </c>
      <c r="AQ102" s="53">
        <v>-81.2</v>
      </c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53"/>
    </row>
    <row r="103" spans="1:65" s="58" customFormat="1">
      <c r="A103" s="215" t="s">
        <v>1279</v>
      </c>
      <c r="B103" s="215">
        <v>60.2</v>
      </c>
      <c r="C103" s="205">
        <v>9.5</v>
      </c>
      <c r="D103" s="53">
        <v>7.7789999999999998E-2</v>
      </c>
      <c r="E103" s="53">
        <v>40.200000000000003</v>
      </c>
      <c r="F103" s="53"/>
      <c r="G103" s="53" t="s">
        <v>1282</v>
      </c>
      <c r="H103" s="53"/>
      <c r="I103" s="71"/>
      <c r="J103" s="53"/>
      <c r="K103" s="53"/>
      <c r="L103" s="7"/>
      <c r="M103" s="7"/>
      <c r="N103" s="7"/>
      <c r="O103" s="71"/>
      <c r="P103" s="53"/>
      <c r="Q103" s="53"/>
      <c r="R103" s="71" t="s">
        <v>1283</v>
      </c>
      <c r="S103" s="53">
        <v>331</v>
      </c>
      <c r="T103" s="53">
        <v>39</v>
      </c>
      <c r="U103" s="53">
        <v>1.6</v>
      </c>
      <c r="V103" s="71" t="s">
        <v>1284</v>
      </c>
      <c r="W103" s="53">
        <v>207</v>
      </c>
      <c r="X103" s="53">
        <v>-30</v>
      </c>
      <c r="Y103" s="53"/>
      <c r="Z103" s="204" t="s">
        <v>1267</v>
      </c>
      <c r="AA103" s="53">
        <v>88</v>
      </c>
      <c r="AB103" s="53">
        <v>-47</v>
      </c>
      <c r="AC103" s="53" t="s">
        <v>65</v>
      </c>
      <c r="AD103" s="53" t="s">
        <v>66</v>
      </c>
      <c r="AE103" s="53" t="s">
        <v>114</v>
      </c>
      <c r="AF103" s="72"/>
      <c r="AG103" s="202"/>
      <c r="AH103" s="186">
        <v>267.39999999999998</v>
      </c>
      <c r="AI103" s="186">
        <v>32</v>
      </c>
      <c r="AJ103" s="53">
        <v>202.7</v>
      </c>
      <c r="AK103" s="53">
        <v>-1.4</v>
      </c>
      <c r="AL103" s="53">
        <v>117.39</v>
      </c>
      <c r="AM103" s="53">
        <v>-38.06</v>
      </c>
      <c r="AN103" s="53"/>
      <c r="AO103" s="53">
        <f>18.6+180</f>
        <v>198.6</v>
      </c>
      <c r="AP103" s="53">
        <v>11</v>
      </c>
      <c r="AQ103" s="53">
        <v>-64</v>
      </c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</row>
    <row r="104" spans="1:65">
      <c r="A104" s="207" t="s">
        <v>1285</v>
      </c>
      <c r="B104" s="53">
        <v>61.1</v>
      </c>
      <c r="C104" s="53"/>
      <c r="D104" s="53">
        <v>1.7030000000000001</v>
      </c>
      <c r="E104" s="53">
        <v>47.1</v>
      </c>
      <c r="F104" s="53">
        <v>490</v>
      </c>
      <c r="G104" s="53" t="s">
        <v>1286</v>
      </c>
      <c r="H104" s="53" t="s">
        <v>137</v>
      </c>
      <c r="I104" s="71" t="s">
        <v>85</v>
      </c>
      <c r="J104" s="53">
        <v>184</v>
      </c>
      <c r="K104" s="53">
        <v>50</v>
      </c>
      <c r="L104" s="203" t="s">
        <v>313</v>
      </c>
      <c r="M104" s="53">
        <v>181</v>
      </c>
      <c r="N104" s="53">
        <v>-41</v>
      </c>
      <c r="O104" s="71"/>
      <c r="P104" s="53"/>
      <c r="Q104" s="53"/>
      <c r="R104" s="71"/>
      <c r="S104" s="53"/>
      <c r="T104" s="53"/>
      <c r="U104" s="53">
        <v>2</v>
      </c>
      <c r="V104" s="53"/>
      <c r="W104" s="53"/>
      <c r="X104" s="53"/>
      <c r="Y104" s="53"/>
      <c r="Z104" s="53"/>
      <c r="AA104" s="53"/>
      <c r="AB104" s="53"/>
      <c r="AC104" s="53" t="s">
        <v>190</v>
      </c>
      <c r="AD104" s="53"/>
      <c r="AE104" s="53" t="s">
        <v>181</v>
      </c>
      <c r="AF104" s="208"/>
      <c r="AG104" s="209"/>
      <c r="AH104" s="186">
        <v>304.39999999999998</v>
      </c>
      <c r="AI104" s="186">
        <v>47</v>
      </c>
      <c r="AJ104" s="53"/>
      <c r="AK104" s="53"/>
      <c r="AL104" s="53"/>
      <c r="AM104" s="53"/>
    </row>
    <row r="105" spans="1:65">
      <c r="A105" s="207" t="s">
        <v>1285</v>
      </c>
      <c r="B105" s="53">
        <v>62.1</v>
      </c>
      <c r="C105" s="53"/>
      <c r="D105" s="53">
        <v>2.1040000000000001</v>
      </c>
      <c r="E105" s="53">
        <v>54.1</v>
      </c>
      <c r="F105" s="53">
        <v>490</v>
      </c>
      <c r="G105" s="53" t="s">
        <v>1287</v>
      </c>
      <c r="H105" s="53" t="s">
        <v>137</v>
      </c>
      <c r="I105" s="71" t="s">
        <v>243</v>
      </c>
      <c r="J105" s="53">
        <v>195</v>
      </c>
      <c r="K105" s="53">
        <v>74</v>
      </c>
      <c r="L105" s="203" t="s">
        <v>313</v>
      </c>
      <c r="M105" s="53">
        <v>194</v>
      </c>
      <c r="N105" s="53">
        <v>-32</v>
      </c>
      <c r="O105" s="71"/>
      <c r="P105" s="53"/>
      <c r="Q105" s="53"/>
      <c r="R105" s="71"/>
      <c r="S105" s="53"/>
      <c r="T105" s="53"/>
      <c r="U105" s="53">
        <v>1.7</v>
      </c>
      <c r="V105" s="53"/>
      <c r="W105" s="53"/>
      <c r="X105" s="53"/>
      <c r="Y105" s="53"/>
      <c r="Z105" s="53"/>
      <c r="AA105" s="53"/>
      <c r="AB105" s="53"/>
      <c r="AC105" s="53" t="s">
        <v>190</v>
      </c>
      <c r="AD105" s="53"/>
      <c r="AE105" s="53" t="s">
        <v>181</v>
      </c>
      <c r="AF105" s="208"/>
      <c r="AG105" s="209"/>
      <c r="AH105" s="186">
        <v>304.39999999999998</v>
      </c>
      <c r="AI105" s="186">
        <v>47</v>
      </c>
      <c r="AJ105" s="53"/>
      <c r="AK105" s="53"/>
      <c r="AL105" s="53"/>
      <c r="AM105" s="53"/>
    </row>
    <row r="106" spans="1:65" s="206" customFormat="1">
      <c r="A106" s="215" t="s">
        <v>1288</v>
      </c>
      <c r="B106" s="215">
        <v>63.1</v>
      </c>
      <c r="C106" s="205">
        <v>-35.799999999999997</v>
      </c>
      <c r="D106" s="53">
        <v>0.19900000000000001</v>
      </c>
      <c r="E106" s="53">
        <v>16.8</v>
      </c>
      <c r="F106" s="53">
        <v>450</v>
      </c>
      <c r="G106" s="53" t="s">
        <v>1289</v>
      </c>
      <c r="H106" s="53"/>
      <c r="I106" s="71"/>
      <c r="J106" s="53"/>
      <c r="K106" s="53"/>
      <c r="L106" s="71" t="s">
        <v>85</v>
      </c>
      <c r="M106" s="216">
        <v>206</v>
      </c>
      <c r="N106" s="216">
        <v>-39</v>
      </c>
      <c r="O106" s="71"/>
      <c r="P106" s="53"/>
      <c r="Q106" s="53"/>
      <c r="R106" s="71"/>
      <c r="S106" s="53"/>
      <c r="T106" s="53"/>
      <c r="U106" s="53">
        <v>3</v>
      </c>
      <c r="V106" s="204" t="s">
        <v>423</v>
      </c>
      <c r="W106" s="53">
        <v>164</v>
      </c>
      <c r="X106" s="53">
        <v>-11</v>
      </c>
      <c r="Y106" s="53" t="s">
        <v>1290</v>
      </c>
      <c r="Z106" s="204" t="s">
        <v>341</v>
      </c>
      <c r="AA106" s="53">
        <v>235</v>
      </c>
      <c r="AB106" s="53">
        <v>61</v>
      </c>
      <c r="AC106" s="53" t="s">
        <v>460</v>
      </c>
      <c r="AD106" s="53" t="s">
        <v>66</v>
      </c>
      <c r="AE106" s="53" t="s">
        <v>123</v>
      </c>
      <c r="AF106" s="72"/>
      <c r="AG106" s="100"/>
      <c r="AH106" s="186">
        <v>269.39999999999998</v>
      </c>
      <c r="AI106" s="186">
        <v>35</v>
      </c>
      <c r="AJ106" s="53">
        <v>163</v>
      </c>
      <c r="AK106" s="53">
        <v>22.7</v>
      </c>
      <c r="AL106" s="53">
        <v>304.13</v>
      </c>
      <c r="AM106" s="53">
        <v>60.87</v>
      </c>
      <c r="AN106" s="53"/>
      <c r="AO106" s="53">
        <f>28.4+180</f>
        <v>208.4</v>
      </c>
      <c r="AP106" s="53">
        <v>3.2</v>
      </c>
      <c r="AQ106" s="53">
        <v>-70.3</v>
      </c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</row>
    <row r="107" spans="1:65" s="206" customFormat="1">
      <c r="A107" s="215" t="s">
        <v>1291</v>
      </c>
      <c r="B107" s="215" t="s">
        <v>1292</v>
      </c>
      <c r="C107" s="205">
        <v>-35.799999999999997</v>
      </c>
      <c r="D107" s="53">
        <v>2.8000000000000001E-2</v>
      </c>
      <c r="E107" s="53"/>
      <c r="F107" s="53">
        <v>400</v>
      </c>
      <c r="G107" s="53">
        <v>450</v>
      </c>
      <c r="H107" s="53"/>
      <c r="I107" s="71" t="s">
        <v>1070</v>
      </c>
      <c r="J107" s="53">
        <v>13</v>
      </c>
      <c r="K107" s="53">
        <v>61</v>
      </c>
      <c r="L107" s="71"/>
      <c r="M107" s="53"/>
      <c r="N107" s="53"/>
      <c r="O107" s="71"/>
      <c r="P107" s="53"/>
      <c r="Q107" s="53"/>
      <c r="R107" s="71"/>
      <c r="S107" s="53"/>
      <c r="T107" s="53"/>
      <c r="U107" s="53">
        <v>1.4</v>
      </c>
      <c r="V107" s="204" t="s">
        <v>104</v>
      </c>
      <c r="W107" s="53">
        <v>210</v>
      </c>
      <c r="X107" s="53">
        <v>-43</v>
      </c>
      <c r="Y107" s="53" t="s">
        <v>1293</v>
      </c>
      <c r="Z107" s="204" t="s">
        <v>341</v>
      </c>
      <c r="AA107" s="53">
        <v>123</v>
      </c>
      <c r="AB107" s="53">
        <v>7</v>
      </c>
      <c r="AC107" s="53" t="s">
        <v>65</v>
      </c>
      <c r="AD107" s="53" t="s">
        <v>66</v>
      </c>
      <c r="AE107" s="53" t="s">
        <v>114</v>
      </c>
      <c r="AF107" s="72"/>
      <c r="AG107" s="100"/>
      <c r="AH107" s="186">
        <v>269.39999999999998</v>
      </c>
      <c r="AI107" s="186">
        <v>35</v>
      </c>
      <c r="AJ107" s="53">
        <v>201.7</v>
      </c>
      <c r="AK107" s="53">
        <v>-11.4</v>
      </c>
      <c r="AL107" s="53">
        <v>114.1</v>
      </c>
      <c r="AM107" s="53">
        <v>24.5</v>
      </c>
      <c r="AN107" s="53"/>
      <c r="AO107" s="53">
        <f>39.1+180</f>
        <v>219.1</v>
      </c>
      <c r="AP107" s="53">
        <v>29.6</v>
      </c>
      <c r="AQ107" s="53">
        <v>-85.6</v>
      </c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</row>
    <row r="108" spans="1:65">
      <c r="A108" s="215" t="s">
        <v>1291</v>
      </c>
      <c r="B108" s="215">
        <v>64.099999999999994</v>
      </c>
      <c r="C108" s="205">
        <v>-35.799999999999997</v>
      </c>
      <c r="D108" s="53">
        <v>3.9E-2</v>
      </c>
      <c r="E108" s="53">
        <v>18.100000000000001</v>
      </c>
      <c r="F108" s="53"/>
      <c r="G108" s="53" t="s">
        <v>1294</v>
      </c>
      <c r="H108" s="53"/>
      <c r="I108" s="71" t="s">
        <v>92</v>
      </c>
      <c r="J108" s="53">
        <v>347</v>
      </c>
      <c r="K108" s="53">
        <v>62</v>
      </c>
      <c r="L108" s="71"/>
      <c r="M108" s="53"/>
      <c r="N108" s="53"/>
      <c r="O108" s="71" t="s">
        <v>138</v>
      </c>
      <c r="P108" s="53">
        <v>108</v>
      </c>
      <c r="Q108" s="53">
        <v>-37</v>
      </c>
      <c r="R108" s="71" t="s">
        <v>211</v>
      </c>
      <c r="S108" s="53">
        <v>260</v>
      </c>
      <c r="T108" s="53">
        <v>-1</v>
      </c>
      <c r="U108" s="53">
        <v>2</v>
      </c>
      <c r="V108" s="53"/>
      <c r="W108" s="53"/>
      <c r="X108" s="53"/>
      <c r="Y108" s="53" t="s">
        <v>121</v>
      </c>
      <c r="Z108" s="53"/>
      <c r="AA108" s="53"/>
      <c r="AB108" s="53"/>
      <c r="AC108" s="53" t="s">
        <v>412</v>
      </c>
      <c r="AD108" s="53"/>
      <c r="AE108" s="53" t="s">
        <v>181</v>
      </c>
      <c r="AF108" s="201"/>
      <c r="AG108" s="202"/>
      <c r="AH108" s="186">
        <v>269.39999999999998</v>
      </c>
      <c r="AI108" s="186">
        <v>35</v>
      </c>
      <c r="AJ108" s="53"/>
      <c r="AK108" s="53"/>
      <c r="AL108" s="53"/>
      <c r="AM108" s="53"/>
    </row>
    <row r="109" spans="1:65">
      <c r="A109" s="215" t="s">
        <v>1291</v>
      </c>
      <c r="B109" s="215">
        <v>65.099999999999994</v>
      </c>
      <c r="C109" s="205">
        <v>-41.3</v>
      </c>
      <c r="D109" s="53">
        <v>2.8439999999999999</v>
      </c>
      <c r="E109" s="53">
        <v>46.5</v>
      </c>
      <c r="F109" s="53">
        <v>490</v>
      </c>
      <c r="G109" s="53" t="s">
        <v>1295</v>
      </c>
      <c r="H109" s="53"/>
      <c r="I109" s="203" t="s">
        <v>313</v>
      </c>
      <c r="J109" s="53">
        <v>13</v>
      </c>
      <c r="K109" s="53">
        <v>45</v>
      </c>
      <c r="L109" s="71"/>
      <c r="M109" s="53"/>
      <c r="N109" s="53"/>
      <c r="O109" s="71"/>
      <c r="P109" s="53"/>
      <c r="Q109" s="53"/>
      <c r="R109" s="71"/>
      <c r="S109" s="53"/>
      <c r="T109" s="53"/>
      <c r="U109" s="53">
        <v>1</v>
      </c>
      <c r="V109" s="53"/>
      <c r="W109" s="53"/>
      <c r="X109" s="53"/>
      <c r="Y109" s="53"/>
      <c r="Z109" s="53"/>
      <c r="AA109" s="53"/>
      <c r="AB109" s="53"/>
      <c r="AC109" s="53" t="s">
        <v>1101</v>
      </c>
      <c r="AD109" s="53"/>
      <c r="AE109" s="53" t="s">
        <v>181</v>
      </c>
      <c r="AF109" s="201"/>
      <c r="AG109" s="202"/>
      <c r="AH109" s="186">
        <v>277.39999999999998</v>
      </c>
      <c r="AI109" s="186">
        <v>34</v>
      </c>
      <c r="AJ109" s="53"/>
      <c r="AK109" s="53"/>
      <c r="AL109" s="53"/>
      <c r="AM109" s="53"/>
    </row>
    <row r="110" spans="1:65" s="58" customFormat="1">
      <c r="A110" s="215" t="s">
        <v>1291</v>
      </c>
      <c r="B110" s="215">
        <v>66.099999999999994</v>
      </c>
      <c r="C110" s="205">
        <v>-69.400000000000006</v>
      </c>
      <c r="D110" s="53">
        <v>8.5000000000000006E-2</v>
      </c>
      <c r="E110" s="53">
        <v>6.3</v>
      </c>
      <c r="F110" s="53" t="s">
        <v>1296</v>
      </c>
      <c r="G110" s="53" t="s">
        <v>1297</v>
      </c>
      <c r="H110" s="53"/>
      <c r="I110" s="71" t="s">
        <v>243</v>
      </c>
      <c r="J110" s="53">
        <v>37</v>
      </c>
      <c r="K110" s="53">
        <v>70</v>
      </c>
      <c r="L110" s="71" t="s">
        <v>321</v>
      </c>
      <c r="M110" s="53">
        <v>177</v>
      </c>
      <c r="N110" s="53">
        <v>-29</v>
      </c>
      <c r="O110" s="71"/>
      <c r="P110" s="53"/>
      <c r="Q110" s="53"/>
      <c r="R110" s="71"/>
      <c r="S110" s="53"/>
      <c r="T110" s="53"/>
      <c r="U110" s="53">
        <v>2.5</v>
      </c>
      <c r="V110" s="204" t="s">
        <v>423</v>
      </c>
      <c r="W110" s="53">
        <v>53</v>
      </c>
      <c r="X110" s="53">
        <v>-14</v>
      </c>
      <c r="Y110" s="53" t="s">
        <v>121</v>
      </c>
      <c r="Z110" s="204" t="s">
        <v>130</v>
      </c>
      <c r="AA110" s="53">
        <v>344</v>
      </c>
      <c r="AB110" s="53">
        <v>52</v>
      </c>
      <c r="AC110" s="53" t="s">
        <v>113</v>
      </c>
      <c r="AD110" s="53" t="s">
        <v>66</v>
      </c>
      <c r="AE110" s="53" t="s">
        <v>67</v>
      </c>
      <c r="AF110" s="59"/>
      <c r="AG110" s="202"/>
      <c r="AH110" s="186">
        <v>252.4</v>
      </c>
      <c r="AI110" s="186">
        <v>12</v>
      </c>
      <c r="AJ110" s="53">
        <v>56.3</v>
      </c>
      <c r="AK110" s="53">
        <v>-17.7</v>
      </c>
      <c r="AL110" s="53">
        <v>343.7</v>
      </c>
      <c r="AM110" s="53">
        <v>40</v>
      </c>
      <c r="AN110" s="53">
        <v>76.3</v>
      </c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</row>
    <row r="111" spans="1:65" s="58" customFormat="1">
      <c r="A111" s="215" t="s">
        <v>1291</v>
      </c>
      <c r="B111" s="215">
        <v>66.2</v>
      </c>
      <c r="C111" s="205">
        <v>-69.400000000000006</v>
      </c>
      <c r="D111" s="53">
        <v>5.4899999999999997E-2</v>
      </c>
      <c r="E111" s="53">
        <v>5.7</v>
      </c>
      <c r="F111" s="53"/>
      <c r="G111" s="53" t="s">
        <v>1298</v>
      </c>
      <c r="H111" s="53"/>
      <c r="I111" s="71"/>
      <c r="J111" s="53"/>
      <c r="K111" s="53"/>
      <c r="L111" s="71"/>
      <c r="M111" s="53"/>
      <c r="N111" s="53"/>
      <c r="O111" s="71" t="s">
        <v>684</v>
      </c>
      <c r="P111" s="53">
        <v>67</v>
      </c>
      <c r="Q111" s="53">
        <v>34</v>
      </c>
      <c r="R111" s="71"/>
      <c r="S111" s="53"/>
      <c r="T111" s="53"/>
      <c r="U111" s="53"/>
      <c r="V111" s="53"/>
      <c r="W111" s="53"/>
      <c r="X111" s="53"/>
      <c r="Y111" s="99" t="s">
        <v>1299</v>
      </c>
      <c r="Z111" s="204" t="s">
        <v>341</v>
      </c>
      <c r="AA111" s="53">
        <v>312</v>
      </c>
      <c r="AB111" s="53">
        <v>27</v>
      </c>
      <c r="AC111" s="53" t="s">
        <v>137</v>
      </c>
      <c r="AD111" s="53" t="s">
        <v>66</v>
      </c>
      <c r="AE111" s="53" t="s">
        <v>181</v>
      </c>
      <c r="AF111" s="59"/>
      <c r="AG111" s="202"/>
      <c r="AH111" s="186">
        <v>252.4</v>
      </c>
      <c r="AI111" s="186">
        <v>12</v>
      </c>
      <c r="AJ111" s="53"/>
      <c r="AK111" s="53"/>
      <c r="AL111" s="53">
        <v>314.3</v>
      </c>
      <c r="AM111" s="53">
        <v>16.5</v>
      </c>
      <c r="AN111" s="53"/>
      <c r="AO111" s="53">
        <v>36.200000000000003</v>
      </c>
      <c r="AP111" s="53">
        <v>-25.5</v>
      </c>
      <c r="AQ111" s="53">
        <v>82.9</v>
      </c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/>
    </row>
    <row r="112" spans="1:65" s="206" customFormat="1">
      <c r="A112" s="215" t="s">
        <v>1300</v>
      </c>
      <c r="B112" s="215">
        <v>67.099999999999994</v>
      </c>
      <c r="C112" s="205">
        <v>-86.4</v>
      </c>
      <c r="D112" s="53">
        <v>0.215</v>
      </c>
      <c r="E112" s="53">
        <v>14.9</v>
      </c>
      <c r="F112" s="53" t="s">
        <v>1296</v>
      </c>
      <c r="G112" s="53" t="s">
        <v>1301</v>
      </c>
      <c r="H112" s="53"/>
      <c r="I112" s="71" t="s">
        <v>92</v>
      </c>
      <c r="J112" s="53">
        <v>5</v>
      </c>
      <c r="K112" s="53">
        <v>88</v>
      </c>
      <c r="L112" s="203" t="s">
        <v>130</v>
      </c>
      <c r="M112" s="53">
        <v>171</v>
      </c>
      <c r="N112" s="53">
        <v>-10</v>
      </c>
      <c r="O112" s="71"/>
      <c r="P112" s="53"/>
      <c r="Q112" s="53"/>
      <c r="R112" s="71"/>
      <c r="S112" s="53"/>
      <c r="T112" s="53"/>
      <c r="U112" s="53">
        <v>1.4</v>
      </c>
      <c r="V112" s="53"/>
      <c r="W112" s="53"/>
      <c r="X112" s="53"/>
      <c r="Y112" s="53"/>
      <c r="Z112" s="53" t="s">
        <v>1092</v>
      </c>
      <c r="AA112" s="53"/>
      <c r="AB112" s="53"/>
      <c r="AC112" s="53" t="s">
        <v>105</v>
      </c>
      <c r="AD112" s="53"/>
      <c r="AE112" s="53" t="s">
        <v>149</v>
      </c>
      <c r="AF112" s="72"/>
      <c r="AG112" s="60"/>
      <c r="AH112" s="186">
        <v>279.39999999999998</v>
      </c>
      <c r="AI112" s="186">
        <v>25</v>
      </c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/>
    </row>
    <row r="113" spans="1:43" ht="15.75" thickBot="1">
      <c r="A113" s="215" t="s">
        <v>1300</v>
      </c>
      <c r="B113" s="215" t="s">
        <v>1302</v>
      </c>
      <c r="C113" s="205">
        <v>-86.4</v>
      </c>
      <c r="D113" s="73">
        <v>3.9409999999999998</v>
      </c>
      <c r="F113" s="73" t="s">
        <v>1092</v>
      </c>
      <c r="G113" s="73" t="s">
        <v>1303</v>
      </c>
      <c r="L113" s="2" t="s">
        <v>711</v>
      </c>
      <c r="M113" s="73">
        <v>174</v>
      </c>
      <c r="N113" s="73">
        <v>6</v>
      </c>
      <c r="R113" s="218" t="s">
        <v>1066</v>
      </c>
      <c r="S113" s="53">
        <v>88</v>
      </c>
      <c r="T113" s="53">
        <v>-14</v>
      </c>
      <c r="U113" s="53">
        <v>2</v>
      </c>
      <c r="V113" s="73" t="s">
        <v>1304</v>
      </c>
      <c r="W113" s="53">
        <v>184</v>
      </c>
      <c r="X113" s="53">
        <v>-19</v>
      </c>
      <c r="Y113" s="53" t="s">
        <v>402</v>
      </c>
      <c r="Z113" s="204" t="s">
        <v>165</v>
      </c>
      <c r="AA113" s="53">
        <v>145</v>
      </c>
      <c r="AB113" s="53">
        <v>66</v>
      </c>
      <c r="AC113" s="53" t="s">
        <v>105</v>
      </c>
      <c r="AD113" s="73" t="s">
        <v>66</v>
      </c>
      <c r="AE113" s="53" t="s">
        <v>123</v>
      </c>
      <c r="AF113" s="83"/>
      <c r="AG113" s="219"/>
      <c r="AH113" s="186">
        <v>279.39999999999998</v>
      </c>
      <c r="AI113" s="186">
        <v>25</v>
      </c>
      <c r="AJ113" s="53">
        <v>184.3</v>
      </c>
      <c r="AK113" s="53">
        <v>5.9</v>
      </c>
      <c r="AL113" s="53">
        <v>76.099999999999994</v>
      </c>
      <c r="AM113" s="53">
        <v>71.900000000000006</v>
      </c>
      <c r="AO113" s="53">
        <f>45.5+180</f>
        <v>225.5</v>
      </c>
      <c r="AP113" s="53">
        <v>15.7</v>
      </c>
      <c r="AQ113" s="53">
        <v>-83.1</v>
      </c>
    </row>
    <row r="114" spans="1:43">
      <c r="AH114" s="53"/>
      <c r="AI114" s="53"/>
      <c r="AJ114" s="53"/>
      <c r="AK114" s="53"/>
      <c r="AL114" s="53"/>
      <c r="AM114" s="53"/>
    </row>
    <row r="115" spans="1:43">
      <c r="AO115" s="220" t="s">
        <v>68</v>
      </c>
    </row>
    <row r="116" spans="1:43">
      <c r="AO116" s="220" t="s">
        <v>68</v>
      </c>
    </row>
    <row r="117" spans="1:43">
      <c r="AO117" s="220" t="s">
        <v>68</v>
      </c>
    </row>
    <row r="118" spans="1:43">
      <c r="AO118" s="220" t="s">
        <v>68</v>
      </c>
    </row>
    <row r="119" spans="1:43">
      <c r="AO119" s="220" t="s">
        <v>68</v>
      </c>
    </row>
    <row r="120" spans="1:43">
      <c r="AO120" s="220" t="s">
        <v>68</v>
      </c>
    </row>
    <row r="121" spans="1:43">
      <c r="AO121" s="220" t="s">
        <v>68</v>
      </c>
    </row>
    <row r="122" spans="1:43">
      <c r="AO122" s="220" t="s">
        <v>68</v>
      </c>
    </row>
    <row r="123" spans="1:43">
      <c r="AO123" s="220" t="s">
        <v>68</v>
      </c>
    </row>
    <row r="124" spans="1:43">
      <c r="AO124" s="220" t="s">
        <v>68</v>
      </c>
    </row>
    <row r="125" spans="1:43">
      <c r="AO125" s="220" t="s">
        <v>68</v>
      </c>
    </row>
    <row r="126" spans="1:43">
      <c r="AO126" s="222" t="s">
        <v>68</v>
      </c>
    </row>
    <row r="127" spans="1:43">
      <c r="AO127" s="222" t="s">
        <v>68</v>
      </c>
    </row>
    <row r="128" spans="1:43">
      <c r="AO128" s="222" t="s">
        <v>68</v>
      </c>
    </row>
    <row r="129" spans="41:41">
      <c r="AO129" s="222" t="s">
        <v>68</v>
      </c>
    </row>
    <row r="130" spans="41:41">
      <c r="AO130" s="222" t="s">
        <v>68</v>
      </c>
    </row>
    <row r="131" spans="41:41">
      <c r="AO131" s="222" t="s">
        <v>68</v>
      </c>
    </row>
    <row r="132" spans="41:41">
      <c r="AO132" s="222" t="s">
        <v>68</v>
      </c>
    </row>
    <row r="133" spans="41:41">
      <c r="AO133" s="222" t="s">
        <v>68</v>
      </c>
    </row>
    <row r="134" spans="41:41">
      <c r="AO134" s="222" t="s">
        <v>68</v>
      </c>
    </row>
    <row r="135" spans="41:41">
      <c r="AO135" s="222" t="s">
        <v>68</v>
      </c>
    </row>
    <row r="136" spans="41:41">
      <c r="AO136" s="222" t="s">
        <v>68</v>
      </c>
    </row>
    <row r="137" spans="41:41">
      <c r="AO137" s="222" t="s">
        <v>68</v>
      </c>
    </row>
    <row r="138" spans="41:41">
      <c r="AO138" s="222" t="s">
        <v>68</v>
      </c>
    </row>
    <row r="139" spans="41:41">
      <c r="AO139" s="222" t="s">
        <v>68</v>
      </c>
    </row>
    <row r="140" spans="41:41">
      <c r="AO140" s="222" t="s">
        <v>68</v>
      </c>
    </row>
    <row r="141" spans="41:41">
      <c r="AO141" s="222" t="s">
        <v>68</v>
      </c>
    </row>
    <row r="142" spans="41:41">
      <c r="AO142" s="222" t="s">
        <v>68</v>
      </c>
    </row>
    <row r="143" spans="41:41">
      <c r="AO143" s="222" t="s">
        <v>68</v>
      </c>
    </row>
    <row r="144" spans="41:41">
      <c r="AO144" s="222" t="s">
        <v>68</v>
      </c>
    </row>
    <row r="145" spans="41:41">
      <c r="AO145" s="222" t="s">
        <v>68</v>
      </c>
    </row>
    <row r="146" spans="41:41">
      <c r="AO146" s="222" t="s">
        <v>68</v>
      </c>
    </row>
    <row r="147" spans="41:41">
      <c r="AO147" s="222" t="s">
        <v>68</v>
      </c>
    </row>
    <row r="148" spans="41:41">
      <c r="AO148" s="222" t="s">
        <v>68</v>
      </c>
    </row>
    <row r="149" spans="41:41">
      <c r="AO149" s="222" t="s">
        <v>68</v>
      </c>
    </row>
    <row r="150" spans="41:41">
      <c r="AO150" s="222" t="s">
        <v>68</v>
      </c>
    </row>
    <row r="151" spans="41:41">
      <c r="AO151" s="222" t="s">
        <v>68</v>
      </c>
    </row>
    <row r="152" spans="41:41">
      <c r="AO152" s="222" t="s">
        <v>68</v>
      </c>
    </row>
    <row r="153" spans="41:41">
      <c r="AO153" s="222" t="s">
        <v>68</v>
      </c>
    </row>
    <row r="154" spans="41:41">
      <c r="AO154" s="222" t="s">
        <v>68</v>
      </c>
    </row>
    <row r="155" spans="41:41">
      <c r="AO155" s="222" t="s">
        <v>68</v>
      </c>
    </row>
    <row r="156" spans="41:41">
      <c r="AO156" s="222" t="s">
        <v>68</v>
      </c>
    </row>
    <row r="157" spans="41:41">
      <c r="AO157" s="222" t="s">
        <v>68</v>
      </c>
    </row>
    <row r="158" spans="41:41">
      <c r="AO158" s="222" t="s">
        <v>68</v>
      </c>
    </row>
    <row r="159" spans="41:41">
      <c r="AO159" s="222" t="s">
        <v>68</v>
      </c>
    </row>
    <row r="160" spans="41:41">
      <c r="AO160" s="222" t="s">
        <v>68</v>
      </c>
    </row>
    <row r="161" spans="41:41">
      <c r="AO161" s="222" t="s">
        <v>68</v>
      </c>
    </row>
    <row r="162" spans="41:41">
      <c r="AO162" s="222" t="s">
        <v>68</v>
      </c>
    </row>
    <row r="163" spans="41:41">
      <c r="AO163" s="222" t="s">
        <v>68</v>
      </c>
    </row>
    <row r="164" spans="41:41">
      <c r="AO164" s="222" t="s">
        <v>68</v>
      </c>
    </row>
    <row r="165" spans="41:41">
      <c r="AO165" s="222" t="s">
        <v>68</v>
      </c>
    </row>
    <row r="166" spans="41:41">
      <c r="AO166" s="222" t="s">
        <v>68</v>
      </c>
    </row>
    <row r="167" spans="41:41">
      <c r="AO167" s="222" t="s">
        <v>68</v>
      </c>
    </row>
    <row r="168" spans="41:41">
      <c r="AO168" s="222" t="s">
        <v>68</v>
      </c>
    </row>
    <row r="169" spans="41:41">
      <c r="AO169" s="53" t="s">
        <v>68</v>
      </c>
    </row>
  </sheetData>
  <mergeCells count="12">
    <mergeCell ref="H2:H4"/>
    <mergeCell ref="I2:K2"/>
    <mergeCell ref="L2:N2"/>
    <mergeCell ref="O2:Q2"/>
    <mergeCell ref="S2:T2"/>
    <mergeCell ref="AT2:AV2"/>
    <mergeCell ref="U3:X3"/>
    <mergeCell ref="Z3:AB3"/>
    <mergeCell ref="AF3:AG3"/>
    <mergeCell ref="AJ3:AK3"/>
    <mergeCell ref="AL3:AM3"/>
    <mergeCell ref="AJ2:AM2"/>
  </mergeCells>
  <hyperlinks>
    <hyperlink ref="V5" r:id="rId1"/>
    <hyperlink ref="V6" r:id="rId2"/>
    <hyperlink ref="Z6" r:id="rId3" display="0-@"/>
    <hyperlink ref="R8" r:id="rId4"/>
    <hyperlink ref="V9" r:id="rId5"/>
    <hyperlink ref="Z11" r:id="rId6"/>
    <hyperlink ref="V13" r:id="rId7"/>
    <hyperlink ref="Z13" r:id="rId8"/>
    <hyperlink ref="V14" r:id="rId9"/>
    <hyperlink ref="Z14" r:id="rId10"/>
    <hyperlink ref="Y17" r:id="rId11"/>
    <hyperlink ref="R19" r:id="rId12"/>
    <hyperlink ref="V21" r:id="rId13"/>
    <hyperlink ref="V23" r:id="rId14"/>
    <hyperlink ref="Y25" r:id="rId15"/>
    <hyperlink ref="Z25" r:id="rId16"/>
    <hyperlink ref="R28" r:id="rId17"/>
    <hyperlink ref="L31" r:id="rId18"/>
    <hyperlink ref="R33" r:id="rId19"/>
    <hyperlink ref="L37" r:id="rId20"/>
    <hyperlink ref="Z37" r:id="rId21"/>
    <hyperlink ref="O41" r:id="rId22"/>
    <hyperlink ref="Z41" r:id="rId23"/>
    <hyperlink ref="R45" r:id="rId24"/>
    <hyperlink ref="V43" r:id="rId25"/>
    <hyperlink ref="Z43" r:id="rId26"/>
    <hyperlink ref="Z44" r:id="rId27"/>
    <hyperlink ref="R47" r:id="rId28"/>
    <hyperlink ref="Z48" r:id="rId29"/>
    <hyperlink ref="Z53" r:id="rId30"/>
    <hyperlink ref="Z54" r:id="rId31"/>
    <hyperlink ref="V58" r:id="rId32"/>
    <hyperlink ref="Z58" r:id="rId33"/>
    <hyperlink ref="V60" r:id="rId34"/>
    <hyperlink ref="Z60" r:id="rId35"/>
    <hyperlink ref="Z61" r:id="rId36"/>
    <hyperlink ref="V63" r:id="rId37"/>
    <hyperlink ref="Z63" r:id="rId38"/>
    <hyperlink ref="R64" r:id="rId39"/>
    <hyperlink ref="Z64" r:id="rId40"/>
    <hyperlink ref="V66" r:id="rId41"/>
    <hyperlink ref="O67" r:id="rId42"/>
    <hyperlink ref="Z68" r:id="rId43"/>
    <hyperlink ref="R69" r:id="rId44"/>
    <hyperlink ref="R72" r:id="rId45"/>
    <hyperlink ref="Z73" r:id="rId46"/>
    <hyperlink ref="V76" r:id="rId47"/>
    <hyperlink ref="Z76" r:id="rId48"/>
    <hyperlink ref="Z77" r:id="rId49"/>
    <hyperlink ref="V80" r:id="rId50"/>
    <hyperlink ref="Z80" r:id="rId51"/>
    <hyperlink ref="V81" r:id="rId52"/>
    <hyperlink ref="V82" r:id="rId53"/>
    <hyperlink ref="Z82" r:id="rId54"/>
    <hyperlink ref="V83" r:id="rId55"/>
    <hyperlink ref="Z83" r:id="rId56"/>
    <hyperlink ref="V85" r:id="rId57"/>
    <hyperlink ref="Z85" r:id="rId58"/>
    <hyperlink ref="Y84" r:id="rId59"/>
    <hyperlink ref="V87" r:id="rId60"/>
    <hyperlink ref="Z87" r:id="rId61"/>
    <hyperlink ref="Z89" r:id="rId62"/>
    <hyperlink ref="Y88" r:id="rId63"/>
    <hyperlink ref="Z88" r:id="rId64"/>
    <hyperlink ref="R91" r:id="rId65"/>
    <hyperlink ref="V92" r:id="rId66"/>
    <hyperlink ref="Z92" r:id="rId67"/>
    <hyperlink ref="R93" r:id="rId68"/>
    <hyperlink ref="V96" r:id="rId69"/>
    <hyperlink ref="Z96" r:id="rId70"/>
    <hyperlink ref="V95" r:id="rId71"/>
    <hyperlink ref="R97" r:id="rId72"/>
    <hyperlink ref="Y98" r:id="rId73"/>
    <hyperlink ref="Z100" r:id="rId74"/>
    <hyperlink ref="L101" r:id="rId75"/>
    <hyperlink ref="Z102" r:id="rId76"/>
    <hyperlink ref="L104" r:id="rId77"/>
    <hyperlink ref="L105" r:id="rId78"/>
    <hyperlink ref="V106" r:id="rId79"/>
    <hyperlink ref="Z106" r:id="rId80"/>
    <hyperlink ref="Z111" r:id="rId81"/>
    <hyperlink ref="V110" r:id="rId82"/>
    <hyperlink ref="Z110" r:id="rId83"/>
    <hyperlink ref="L112" r:id="rId84"/>
    <hyperlink ref="V50" r:id="rId85"/>
    <hyperlink ref="O52" r:id="rId86"/>
    <hyperlink ref="Z62" r:id="rId87" display="610-@"/>
    <hyperlink ref="V65" r:id="rId88"/>
    <hyperlink ref="Z65" r:id="rId89"/>
    <hyperlink ref="V74" r:id="rId90"/>
    <hyperlink ref="Z74" r:id="rId91"/>
    <hyperlink ref="I109" r:id="rId92"/>
    <hyperlink ref="Z5" r:id="rId93"/>
    <hyperlink ref="Z23" r:id="rId94"/>
    <hyperlink ref="R18" r:id="rId95"/>
    <hyperlink ref="V22" r:id="rId96"/>
    <hyperlink ref="Z24" r:id="rId97"/>
    <hyperlink ref="Z30" r:id="rId98"/>
    <hyperlink ref="L32" r:id="rId99"/>
    <hyperlink ref="V34" r:id="rId100"/>
    <hyperlink ref="Z34" r:id="rId101"/>
    <hyperlink ref="R36" r:id="rId102"/>
    <hyperlink ref="L38" r:id="rId103"/>
    <hyperlink ref="O42" r:id="rId104"/>
    <hyperlink ref="Z42" r:id="rId105"/>
    <hyperlink ref="Z51" r:id="rId106"/>
    <hyperlink ref="Z59" r:id="rId107"/>
    <hyperlink ref="V75" r:id="rId108"/>
    <hyperlink ref="V107" r:id="rId109"/>
    <hyperlink ref="Z107" r:id="rId110"/>
    <hyperlink ref="R113" r:id="rId111"/>
    <hyperlink ref="Z113" r:id="rId112"/>
    <hyperlink ref="O46" r:id="rId113"/>
    <hyperlink ref="O57" r:id="rId114"/>
    <hyperlink ref="O49" r:id="rId115"/>
    <hyperlink ref="Z50" r:id="rId116"/>
    <hyperlink ref="Z103" r:id="rId117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B228"/>
  <sheetViews>
    <sheetView topLeftCell="A127" zoomScale="75" zoomScaleNormal="75" workbookViewId="0">
      <selection activeCell="S114" sqref="S114"/>
    </sheetView>
  </sheetViews>
  <sheetFormatPr defaultColWidth="7.7109375" defaultRowHeight="15"/>
  <cols>
    <col min="2" max="2" width="9.140625" customWidth="1"/>
    <col min="3" max="3" width="7.85546875" customWidth="1"/>
    <col min="4" max="7" width="4.28515625" customWidth="1"/>
    <col min="8" max="8" width="7.140625" style="437" customWidth="1"/>
    <col min="9" max="9" width="7.140625" style="5" customWidth="1"/>
    <col min="10" max="10" width="10.140625" style="5" customWidth="1"/>
    <col min="11" max="11" width="10.85546875" style="129" customWidth="1"/>
    <col min="12" max="12" width="10.85546875" style="362" customWidth="1"/>
    <col min="13" max="15" width="10.7109375" customWidth="1"/>
    <col min="16" max="18" width="6.7109375" customWidth="1"/>
    <col min="19" max="21" width="6.7109375" style="7" customWidth="1"/>
    <col min="22" max="23" width="6.7109375" customWidth="1"/>
    <col min="24" max="31" width="6.85546875" customWidth="1"/>
    <col min="32" max="37" width="7.28515625" customWidth="1"/>
    <col min="38" max="38" width="10.7109375" customWidth="1"/>
    <col min="39" max="39" width="7.7109375" style="2"/>
    <col min="41" max="41" width="6.42578125" customWidth="1"/>
    <col min="42" max="42" width="7.7109375" style="2"/>
    <col min="44" max="44" width="6.140625" customWidth="1"/>
    <col min="45" max="45" width="7.7109375" style="2" hidden="1" customWidth="1"/>
    <col min="46" max="50" width="7.7109375" hidden="1" customWidth="1"/>
    <col min="53" max="53" width="10.28515625" style="51" bestFit="1" customWidth="1"/>
    <col min="55" max="55" width="8.42578125" style="7" bestFit="1" customWidth="1"/>
    <col min="56" max="106" width="7.7109375" style="7"/>
  </cols>
  <sheetData>
    <row r="1" spans="1:106">
      <c r="B1" s="710" t="s">
        <v>1305</v>
      </c>
      <c r="C1" s="712" t="s">
        <v>1306</v>
      </c>
      <c r="D1" s="223" t="s">
        <v>1307</v>
      </c>
      <c r="E1" s="224"/>
      <c r="F1" s="224"/>
      <c r="G1" s="224"/>
      <c r="H1" s="225" t="s">
        <v>1308</v>
      </c>
      <c r="I1" s="226"/>
      <c r="J1" s="227"/>
      <c r="K1" s="714" t="s">
        <v>1309</v>
      </c>
      <c r="L1" s="712"/>
      <c r="M1" s="714" t="s">
        <v>1310</v>
      </c>
      <c r="N1" s="717"/>
      <c r="O1" s="712"/>
      <c r="P1" s="714" t="s">
        <v>1311</v>
      </c>
      <c r="Q1" s="717"/>
      <c r="R1" s="717"/>
      <c r="S1" s="717"/>
      <c r="T1" s="717"/>
      <c r="U1" s="717"/>
      <c r="V1" s="717"/>
      <c r="W1" s="712"/>
      <c r="X1" s="730" t="s">
        <v>1312</v>
      </c>
      <c r="Y1" s="730"/>
      <c r="Z1" s="730"/>
      <c r="AA1" s="730"/>
      <c r="AB1" s="730"/>
      <c r="AC1" s="730"/>
      <c r="AD1" s="730"/>
      <c r="AE1" s="730"/>
      <c r="AF1" s="730"/>
      <c r="AG1" s="730"/>
      <c r="AH1" s="730"/>
      <c r="AI1" s="730"/>
      <c r="AJ1" s="730"/>
      <c r="AK1" s="731"/>
      <c r="AZ1" t="s">
        <v>1313</v>
      </c>
      <c r="BE1" t="s">
        <v>15</v>
      </c>
    </row>
    <row r="2" spans="1:106">
      <c r="B2" s="710"/>
      <c r="C2" s="712"/>
      <c r="D2" s="228"/>
      <c r="E2" s="229"/>
      <c r="F2" s="229"/>
      <c r="G2" s="229"/>
      <c r="H2" s="230" t="s">
        <v>1314</v>
      </c>
      <c r="I2" s="231"/>
      <c r="J2" s="232" t="s">
        <v>1315</v>
      </c>
      <c r="K2" s="715" t="s">
        <v>1309</v>
      </c>
      <c r="L2" s="716"/>
      <c r="M2" s="715" t="s">
        <v>1316</v>
      </c>
      <c r="N2" s="718"/>
      <c r="O2" s="716"/>
      <c r="P2" s="715"/>
      <c r="Q2" s="718"/>
      <c r="R2" s="718"/>
      <c r="S2" s="718"/>
      <c r="T2" s="718"/>
      <c r="U2" s="718"/>
      <c r="V2" s="718"/>
      <c r="W2" s="716"/>
      <c r="X2" s="732" t="s">
        <v>1317</v>
      </c>
      <c r="Y2" s="732"/>
      <c r="Z2" s="732"/>
      <c r="AA2" s="732"/>
      <c r="AB2" s="732"/>
      <c r="AC2" s="732"/>
      <c r="AD2" s="732"/>
      <c r="AE2" s="233"/>
      <c r="AF2" s="733" t="s">
        <v>1318</v>
      </c>
      <c r="AG2" s="732"/>
      <c r="AH2" s="732"/>
      <c r="AI2" s="732"/>
      <c r="AJ2" s="732"/>
      <c r="AK2" s="734"/>
      <c r="AL2" t="s">
        <v>1319</v>
      </c>
      <c r="AM2" s="9" t="s">
        <v>1320</v>
      </c>
      <c r="AY2" t="s">
        <v>1313</v>
      </c>
      <c r="AZ2" t="s">
        <v>45</v>
      </c>
      <c r="BA2" s="51" t="s">
        <v>1321</v>
      </c>
      <c r="BC2" s="7" t="s">
        <v>1322</v>
      </c>
      <c r="BE2" t="s">
        <v>1323</v>
      </c>
    </row>
    <row r="3" spans="1:106">
      <c r="A3" t="s">
        <v>1324</v>
      </c>
      <c r="B3" s="710"/>
      <c r="C3" s="712"/>
      <c r="D3" s="719" t="s">
        <v>1325</v>
      </c>
      <c r="E3" s="719" t="s">
        <v>1326</v>
      </c>
      <c r="F3" s="719" t="s">
        <v>1327</v>
      </c>
      <c r="G3" s="719" t="s">
        <v>1328</v>
      </c>
      <c r="H3" s="721" t="s">
        <v>1329</v>
      </c>
      <c r="I3" s="723" t="s">
        <v>1330</v>
      </c>
      <c r="J3" s="234"/>
      <c r="K3" s="725" t="s">
        <v>1331</v>
      </c>
      <c r="L3" s="735" t="s">
        <v>1332</v>
      </c>
      <c r="M3" s="727" t="s">
        <v>1333</v>
      </c>
      <c r="N3" s="719" t="s">
        <v>1334</v>
      </c>
      <c r="O3" s="729" t="s">
        <v>1335</v>
      </c>
      <c r="P3" s="727" t="s">
        <v>1336</v>
      </c>
      <c r="Q3" s="719" t="s">
        <v>1337</v>
      </c>
      <c r="R3" s="719" t="s">
        <v>1090</v>
      </c>
      <c r="S3" s="737" t="s">
        <v>1338</v>
      </c>
      <c r="T3" s="737" t="s">
        <v>1339</v>
      </c>
      <c r="U3" s="737" t="s">
        <v>1340</v>
      </c>
      <c r="V3" s="719" t="s">
        <v>1341</v>
      </c>
      <c r="W3" s="729" t="s">
        <v>1342</v>
      </c>
      <c r="X3" s="705" t="s">
        <v>1343</v>
      </c>
      <c r="Y3" s="705"/>
      <c r="Z3" s="705"/>
      <c r="AA3" s="235" t="s">
        <v>1344</v>
      </c>
      <c r="AB3" s="235"/>
      <c r="AC3" s="705" t="s">
        <v>1345</v>
      </c>
      <c r="AD3" s="705"/>
      <c r="AE3" s="236"/>
      <c r="AF3" s="706" t="s">
        <v>1343</v>
      </c>
      <c r="AG3" s="707"/>
      <c r="AH3" s="237" t="s">
        <v>1344</v>
      </c>
      <c r="AI3" s="237"/>
      <c r="AJ3" s="707" t="s">
        <v>1345</v>
      </c>
      <c r="AK3" s="708"/>
      <c r="AL3" t="s">
        <v>1346</v>
      </c>
      <c r="AM3" s="2" t="s">
        <v>1347</v>
      </c>
      <c r="AS3" s="2" t="s">
        <v>1348</v>
      </c>
      <c r="AY3" t="s">
        <v>1349</v>
      </c>
      <c r="BA3" s="51" t="s">
        <v>1350</v>
      </c>
      <c r="BC3" s="7" t="s">
        <v>1351</v>
      </c>
      <c r="BE3" t="s">
        <v>1352</v>
      </c>
    </row>
    <row r="4" spans="1:106" ht="15.75" thickBot="1">
      <c r="B4" s="711"/>
      <c r="C4" s="713"/>
      <c r="D4" s="720"/>
      <c r="E4" s="720"/>
      <c r="F4" s="720"/>
      <c r="G4" s="720"/>
      <c r="H4" s="722"/>
      <c r="I4" s="724"/>
      <c r="J4" s="238"/>
      <c r="K4" s="726"/>
      <c r="L4" s="736"/>
      <c r="M4" s="728"/>
      <c r="N4" s="720"/>
      <c r="O4" s="713"/>
      <c r="P4" s="728"/>
      <c r="Q4" s="720"/>
      <c r="R4" s="720"/>
      <c r="S4" s="738"/>
      <c r="T4" s="738"/>
      <c r="U4" s="738"/>
      <c r="V4" s="720"/>
      <c r="W4" s="713"/>
      <c r="X4" s="239" t="s">
        <v>1031</v>
      </c>
      <c r="Y4" s="239" t="s">
        <v>44</v>
      </c>
      <c r="Z4" s="240" t="s">
        <v>1353</v>
      </c>
      <c r="AA4" s="239" t="s">
        <v>1031</v>
      </c>
      <c r="AB4" s="239" t="s">
        <v>44</v>
      </c>
      <c r="AC4" s="239" t="s">
        <v>1031</v>
      </c>
      <c r="AD4" s="239" t="s">
        <v>44</v>
      </c>
      <c r="AE4" s="240" t="s">
        <v>1353</v>
      </c>
      <c r="AF4" s="241" t="s">
        <v>1031</v>
      </c>
      <c r="AG4" s="239" t="s">
        <v>44</v>
      </c>
      <c r="AH4" s="241" t="s">
        <v>1031</v>
      </c>
      <c r="AI4" s="239" t="s">
        <v>44</v>
      </c>
      <c r="AJ4" s="239" t="s">
        <v>1031</v>
      </c>
      <c r="AK4" s="242" t="s">
        <v>44</v>
      </c>
      <c r="AL4" s="243" t="s">
        <v>1354</v>
      </c>
      <c r="AM4" s="709" t="s">
        <v>1355</v>
      </c>
      <c r="AN4" s="709"/>
      <c r="AP4" s="709" t="s">
        <v>1356</v>
      </c>
      <c r="AQ4" s="709"/>
      <c r="AS4" s="2" t="s">
        <v>36</v>
      </c>
      <c r="AT4" t="s">
        <v>37</v>
      </c>
      <c r="AY4" t="s">
        <v>1357</v>
      </c>
      <c r="BA4" s="51" t="s">
        <v>1030</v>
      </c>
      <c r="BB4" t="s">
        <v>34</v>
      </c>
      <c r="BC4" s="7" t="s">
        <v>1030</v>
      </c>
      <c r="BD4" s="7" t="s">
        <v>34</v>
      </c>
      <c r="BE4" t="s">
        <v>1358</v>
      </c>
    </row>
    <row r="5" spans="1:106">
      <c r="A5" s="244" t="s">
        <v>1359</v>
      </c>
      <c r="B5" s="245" t="s">
        <v>1360</v>
      </c>
      <c r="C5">
        <v>26.523</v>
      </c>
      <c r="D5" s="246">
        <v>3</v>
      </c>
      <c r="E5" s="247">
        <v>0</v>
      </c>
      <c r="F5" s="247">
        <v>3</v>
      </c>
      <c r="G5" s="247">
        <v>90</v>
      </c>
      <c r="H5" s="248">
        <v>149.4</v>
      </c>
      <c r="I5" s="249">
        <v>42</v>
      </c>
      <c r="J5" s="250">
        <f>IF(H5+180 &gt;360, H5-180, H5+180)</f>
        <v>329.4</v>
      </c>
      <c r="K5" s="251">
        <f>561.5</f>
        <v>561.5</v>
      </c>
      <c r="L5" s="252">
        <v>6.3E-2</v>
      </c>
      <c r="M5" s="253">
        <v>1.0203</v>
      </c>
      <c r="N5" s="254">
        <v>0.99080000000000001</v>
      </c>
      <c r="O5" s="254">
        <v>0.9889</v>
      </c>
      <c r="P5" s="255">
        <v>1.032</v>
      </c>
      <c r="Q5" s="256">
        <v>1.03</v>
      </c>
      <c r="R5" s="256">
        <v>1.002</v>
      </c>
      <c r="S5" s="257">
        <v>1.766</v>
      </c>
      <c r="T5" s="257">
        <v>0.97299999999999998</v>
      </c>
      <c r="U5" s="258">
        <v>-0.874</v>
      </c>
      <c r="V5" s="256">
        <f>100*(M5-O5)/M5</f>
        <v>3.077526217779083</v>
      </c>
      <c r="W5" s="252">
        <v>-0.876</v>
      </c>
      <c r="X5" s="259">
        <v>317</v>
      </c>
      <c r="Y5" s="259">
        <v>8</v>
      </c>
      <c r="Z5" s="260">
        <v>2.6</v>
      </c>
      <c r="AA5" s="260">
        <v>78</v>
      </c>
      <c r="AB5" s="260">
        <v>74</v>
      </c>
      <c r="AC5" s="259">
        <v>225</v>
      </c>
      <c r="AD5" s="259">
        <v>13</v>
      </c>
      <c r="AE5" s="261">
        <v>2.1</v>
      </c>
      <c r="AF5">
        <v>110</v>
      </c>
      <c r="AG5">
        <v>-20.399999999999999</v>
      </c>
      <c r="AJ5">
        <v>13.3</v>
      </c>
      <c r="AK5">
        <v>-17.100000000000001</v>
      </c>
      <c r="AL5" t="s">
        <v>1361</v>
      </c>
      <c r="AM5" s="262">
        <f>IF(AG5&lt;0, IF(AF5+180 &gt;360, AF5+180-360, AF5+180),AF5)</f>
        <v>290</v>
      </c>
      <c r="AN5">
        <f>ABS(AG5)</f>
        <v>20.399999999999999</v>
      </c>
      <c r="AO5" t="s">
        <v>1343</v>
      </c>
      <c r="AP5" s="262">
        <f>IF(AK5&lt;0, IF(AJ5+180 &gt;360, AJ5+180-360, AJ5+180),AJ5)</f>
        <v>193.3</v>
      </c>
      <c r="AQ5">
        <f>ABS(AK5)</f>
        <v>17.100000000000001</v>
      </c>
      <c r="AR5" t="s">
        <v>1356</v>
      </c>
      <c r="AS5">
        <f>193.3-180</f>
        <v>13.300000000000011</v>
      </c>
      <c r="AT5">
        <v>17.100000000000001</v>
      </c>
      <c r="AV5" s="259">
        <v>290</v>
      </c>
      <c r="AW5" s="259">
        <v>20.399999999999999</v>
      </c>
      <c r="AX5" t="s">
        <v>1343</v>
      </c>
      <c r="AY5" t="s">
        <v>103</v>
      </c>
      <c r="AZ5" t="s">
        <v>1362</v>
      </c>
      <c r="BA5" s="5">
        <f>AVERAGE(AP6:AP8)+90</f>
        <v>118.53333333333333</v>
      </c>
      <c r="BB5" s="5">
        <f>90-AVERAGE(AQ6:AQ8)</f>
        <v>70.633333333333326</v>
      </c>
      <c r="BC5" s="7">
        <v>258.39999999999998</v>
      </c>
      <c r="BD5" s="7" t="s">
        <v>1479</v>
      </c>
      <c r="BE5" s="7" t="s">
        <v>1500</v>
      </c>
    </row>
    <row r="6" spans="1:106">
      <c r="A6" s="244" t="s">
        <v>1359</v>
      </c>
      <c r="B6" s="245" t="s">
        <v>1363</v>
      </c>
      <c r="C6">
        <v>27.786999999999999</v>
      </c>
      <c r="D6" s="246">
        <v>3</v>
      </c>
      <c r="E6" s="247">
        <v>0</v>
      </c>
      <c r="F6" s="247">
        <v>3</v>
      </c>
      <c r="G6" s="247">
        <v>90</v>
      </c>
      <c r="H6" s="248">
        <v>149.4</v>
      </c>
      <c r="I6" s="249">
        <v>42</v>
      </c>
      <c r="J6" s="250">
        <f t="shared" ref="J6:J161" si="0">IF(H6+180 &gt;360, H6-180, H6+180)</f>
        <v>329.4</v>
      </c>
      <c r="K6" s="251">
        <f>583.5</f>
        <v>583.5</v>
      </c>
      <c r="L6" s="252">
        <v>7.0000000000000001E-3</v>
      </c>
      <c r="M6" s="253">
        <v>1.0185</v>
      </c>
      <c r="N6" s="254">
        <v>0.99299999999999999</v>
      </c>
      <c r="O6" s="254">
        <v>0.98850000000000005</v>
      </c>
      <c r="P6" s="255">
        <v>1.03</v>
      </c>
      <c r="Q6" s="256">
        <v>1.026</v>
      </c>
      <c r="R6" s="256">
        <v>1.0049999999999999</v>
      </c>
      <c r="S6" s="257">
        <v>1.4710000000000001</v>
      </c>
      <c r="T6" s="257">
        <v>0.98</v>
      </c>
      <c r="U6" s="258">
        <v>-0.69099999999999995</v>
      </c>
      <c r="V6" s="256">
        <f t="shared" ref="V6:V161" si="1">100*(M6-O6)/M6</f>
        <v>2.9455081001472672</v>
      </c>
      <c r="W6" s="252">
        <v>-0.69499999999999995</v>
      </c>
      <c r="X6" s="259">
        <v>317</v>
      </c>
      <c r="Y6" s="259">
        <v>8</v>
      </c>
      <c r="Z6" s="260">
        <v>0.3</v>
      </c>
      <c r="AA6" s="260">
        <v>53</v>
      </c>
      <c r="AB6" s="260">
        <v>37</v>
      </c>
      <c r="AC6" s="259">
        <v>216</v>
      </c>
      <c r="AD6" s="259">
        <v>52</v>
      </c>
      <c r="AE6" s="261">
        <v>0.3</v>
      </c>
      <c r="AF6">
        <v>110</v>
      </c>
      <c r="AG6" s="263">
        <v>-20.399999999999999</v>
      </c>
      <c r="AH6" s="263"/>
      <c r="AI6" s="263"/>
      <c r="AJ6" s="263">
        <v>27.4</v>
      </c>
      <c r="AK6">
        <v>20.100000000000001</v>
      </c>
      <c r="AL6" s="259" t="s">
        <v>1364</v>
      </c>
      <c r="AM6" s="262">
        <f t="shared" ref="AM6:AM161" si="2">IF(AG6&lt;0, IF(AF6+180 &gt;360, AF6+180-360, AF6+180),AF6)</f>
        <v>290</v>
      </c>
      <c r="AN6">
        <f t="shared" ref="AN6:AN161" si="3">ABS(AG6)</f>
        <v>20.399999999999999</v>
      </c>
      <c r="AO6" t="s">
        <v>1343</v>
      </c>
      <c r="AP6" s="262">
        <f t="shared" ref="AP6:AP161" si="4">IF(AK6&lt;0, IF(AJ6+180 &gt;360, AJ6+180-360, AJ6+180),AJ6)</f>
        <v>27.4</v>
      </c>
      <c r="AQ6">
        <f t="shared" ref="AQ6:AQ161" si="5">ABS(AK6)</f>
        <v>20.100000000000001</v>
      </c>
      <c r="AR6" t="s">
        <v>1356</v>
      </c>
      <c r="AS6">
        <v>207.4</v>
      </c>
      <c r="AT6">
        <v>20.100000000000001</v>
      </c>
      <c r="AV6" s="259">
        <v>290</v>
      </c>
      <c r="AW6" s="259">
        <v>20.399999999999999</v>
      </c>
      <c r="AX6" t="s">
        <v>1343</v>
      </c>
      <c r="AY6" t="s">
        <v>103</v>
      </c>
      <c r="AZ6" t="s">
        <v>1362</v>
      </c>
    </row>
    <row r="7" spans="1:106">
      <c r="A7" s="244" t="s">
        <v>1359</v>
      </c>
      <c r="B7" s="245" t="s">
        <v>1365</v>
      </c>
      <c r="D7" s="246">
        <v>3</v>
      </c>
      <c r="E7" s="247">
        <v>0</v>
      </c>
      <c r="F7" s="247">
        <v>3</v>
      </c>
      <c r="G7" s="247">
        <v>90</v>
      </c>
      <c r="H7" s="248">
        <v>149.4</v>
      </c>
      <c r="I7" s="249">
        <v>42</v>
      </c>
      <c r="J7" s="250">
        <f t="shared" si="0"/>
        <v>329.4</v>
      </c>
      <c r="K7" s="251">
        <f>536.1</f>
        <v>536.1</v>
      </c>
      <c r="L7" s="252">
        <v>2.3E-2</v>
      </c>
      <c r="M7" s="253">
        <v>1.0197000000000001</v>
      </c>
      <c r="N7" s="254">
        <v>0.99350000000000005</v>
      </c>
      <c r="O7" s="254">
        <v>0.98680000000000001</v>
      </c>
      <c r="P7" s="255">
        <v>1.0329999999999999</v>
      </c>
      <c r="Q7" s="256">
        <v>1.026</v>
      </c>
      <c r="R7" s="256">
        <v>1.0069999999999999</v>
      </c>
      <c r="S7" s="257">
        <v>1.323</v>
      </c>
      <c r="T7" s="257">
        <v>0.98099999999999998</v>
      </c>
      <c r="U7" s="258">
        <v>-0.58699999999999997</v>
      </c>
      <c r="V7" s="256">
        <f t="shared" si="1"/>
        <v>3.2264391487692499</v>
      </c>
      <c r="W7" s="252">
        <v>-0.59299999999999997</v>
      </c>
      <c r="X7" s="259">
        <v>320</v>
      </c>
      <c r="Y7" s="259">
        <v>7</v>
      </c>
      <c r="Z7" s="260">
        <v>1</v>
      </c>
      <c r="AA7" s="260">
        <v>54</v>
      </c>
      <c r="AB7" s="260">
        <v>32</v>
      </c>
      <c r="AC7" s="259">
        <v>218</v>
      </c>
      <c r="AD7" s="259">
        <v>57</v>
      </c>
      <c r="AE7" s="261">
        <v>0.8</v>
      </c>
      <c r="AF7">
        <v>113.2</v>
      </c>
      <c r="AG7" s="263">
        <v>-19.7</v>
      </c>
      <c r="AH7" s="263"/>
      <c r="AI7" s="263"/>
      <c r="AJ7" s="263">
        <v>31.5</v>
      </c>
      <c r="AK7">
        <v>23.5</v>
      </c>
      <c r="AL7" s="259" t="s">
        <v>1364</v>
      </c>
      <c r="AM7" s="262">
        <f t="shared" si="2"/>
        <v>293.2</v>
      </c>
      <c r="AN7">
        <f t="shared" si="3"/>
        <v>19.7</v>
      </c>
      <c r="AO7" t="s">
        <v>1343</v>
      </c>
      <c r="AP7" s="262">
        <f t="shared" si="4"/>
        <v>31.5</v>
      </c>
      <c r="AQ7">
        <f t="shared" si="5"/>
        <v>23.5</v>
      </c>
      <c r="AR7" t="s">
        <v>1356</v>
      </c>
      <c r="AS7">
        <v>211.5</v>
      </c>
      <c r="AT7">
        <v>23.5</v>
      </c>
      <c r="AV7" s="259">
        <v>293.2</v>
      </c>
      <c r="AW7" s="259">
        <v>19.7</v>
      </c>
      <c r="AX7" t="s">
        <v>1343</v>
      </c>
      <c r="AY7" t="s">
        <v>103</v>
      </c>
      <c r="AZ7" t="s">
        <v>1362</v>
      </c>
    </row>
    <row r="8" spans="1:106">
      <c r="A8" s="244" t="s">
        <v>1359</v>
      </c>
      <c r="B8" s="264" t="s">
        <v>1366</v>
      </c>
      <c r="C8" s="265"/>
      <c r="D8" s="266">
        <v>3</v>
      </c>
      <c r="E8" s="264">
        <v>0</v>
      </c>
      <c r="F8" s="264">
        <v>3</v>
      </c>
      <c r="G8" s="264">
        <v>90</v>
      </c>
      <c r="H8" s="248">
        <v>149.4</v>
      </c>
      <c r="I8" s="249">
        <v>42</v>
      </c>
      <c r="J8" s="250">
        <f t="shared" si="0"/>
        <v>329.4</v>
      </c>
      <c r="K8" s="267">
        <f>552.4</f>
        <v>552.4</v>
      </c>
      <c r="L8" s="268">
        <v>1.0999999999999999E-2</v>
      </c>
      <c r="M8" s="269">
        <v>1.0172000000000001</v>
      </c>
      <c r="N8" s="270">
        <v>0.99360000000000004</v>
      </c>
      <c r="O8" s="270">
        <v>0.98919999999999997</v>
      </c>
      <c r="P8" s="271">
        <v>1.028</v>
      </c>
      <c r="Q8" s="272">
        <v>1.024</v>
      </c>
      <c r="R8" s="272">
        <v>1.004</v>
      </c>
      <c r="S8" s="273">
        <v>1.454</v>
      </c>
      <c r="T8" s="273">
        <v>0.98099999999999998</v>
      </c>
      <c r="U8" s="274">
        <v>-0.68</v>
      </c>
      <c r="V8" s="256">
        <f t="shared" si="1"/>
        <v>2.7526543452615151</v>
      </c>
      <c r="W8" s="268">
        <v>-0.68400000000000005</v>
      </c>
      <c r="X8" s="275">
        <v>321</v>
      </c>
      <c r="Y8" s="275">
        <v>10</v>
      </c>
      <c r="Z8" s="276">
        <v>0.5</v>
      </c>
      <c r="AA8" s="260">
        <v>60</v>
      </c>
      <c r="AB8" s="260">
        <v>41</v>
      </c>
      <c r="AC8" s="275">
        <v>220</v>
      </c>
      <c r="AD8" s="275">
        <v>47</v>
      </c>
      <c r="AE8" s="277">
        <v>0.4</v>
      </c>
      <c r="AF8">
        <v>112.4</v>
      </c>
      <c r="AG8" s="263">
        <v>-16.600000000000001</v>
      </c>
      <c r="AH8" s="263"/>
      <c r="AI8" s="263"/>
      <c r="AJ8" s="263">
        <v>26.7</v>
      </c>
      <c r="AK8">
        <v>14.5</v>
      </c>
      <c r="AL8" s="259" t="s">
        <v>1364</v>
      </c>
      <c r="AM8" s="262">
        <f t="shared" si="2"/>
        <v>292.39999999999998</v>
      </c>
      <c r="AN8">
        <f t="shared" si="3"/>
        <v>16.600000000000001</v>
      </c>
      <c r="AO8" t="s">
        <v>1343</v>
      </c>
      <c r="AP8" s="262">
        <f t="shared" si="4"/>
        <v>26.7</v>
      </c>
      <c r="AQ8">
        <f t="shared" si="5"/>
        <v>14.5</v>
      </c>
      <c r="AR8" t="s">
        <v>1356</v>
      </c>
      <c r="AS8">
        <v>206.7</v>
      </c>
      <c r="AT8">
        <v>14.5</v>
      </c>
      <c r="AV8" s="275">
        <v>292.39999999999998</v>
      </c>
      <c r="AW8" s="275">
        <v>16.600000000000001</v>
      </c>
      <c r="AX8" t="s">
        <v>1343</v>
      </c>
      <c r="AY8" t="s">
        <v>103</v>
      </c>
      <c r="AZ8" t="s">
        <v>1362</v>
      </c>
    </row>
    <row r="9" spans="1:106">
      <c r="A9" s="278" t="s">
        <v>1367</v>
      </c>
      <c r="B9" s="247" t="str">
        <f>[2]AMS_raw!A85</f>
        <v>BB4_2</v>
      </c>
      <c r="C9" s="73"/>
      <c r="D9" s="246"/>
      <c r="E9" s="247"/>
      <c r="F9" s="247"/>
      <c r="G9" s="247"/>
      <c r="H9" s="247">
        <v>59</v>
      </c>
      <c r="I9" s="247">
        <v>13</v>
      </c>
      <c r="J9" s="250"/>
      <c r="K9" s="279">
        <f>[2]AMS_raw!G85</f>
        <v>523.4</v>
      </c>
      <c r="L9" s="256">
        <f>[2]AMS_raw!H85</f>
        <v>0.115</v>
      </c>
      <c r="M9" s="247">
        <f>[2]AMS_raw!M85</f>
        <v>1.0371999999999999</v>
      </c>
      <c r="N9" s="247">
        <f>[2]AMS_raw!N85</f>
        <v>0.99450000000000005</v>
      </c>
      <c r="O9" s="247">
        <f>[2]AMS_raw!O85</f>
        <v>0.96830000000000005</v>
      </c>
      <c r="P9" s="255"/>
      <c r="Q9" s="256"/>
      <c r="R9" s="256"/>
      <c r="S9" s="280">
        <f>[2]AMS_raw!S85</f>
        <v>0.89700000000000002</v>
      </c>
      <c r="T9" s="280">
        <f>[2]AMS_raw!T85</f>
        <v>0.98499999999999999</v>
      </c>
      <c r="U9" s="281">
        <f>[2]AMS_raw!U85</f>
        <v>-0.222</v>
      </c>
      <c r="V9" s="256">
        <f t="shared" si="1"/>
        <v>6.6428846895487705</v>
      </c>
      <c r="W9" s="247">
        <f>[2]AMS_raw!V85</f>
        <v>-0.23899999999999999</v>
      </c>
      <c r="X9" s="247">
        <f>[2]AMS_raw!AM85</f>
        <v>71</v>
      </c>
      <c r="Y9" s="247">
        <f>[2]AMS_raw!AN85</f>
        <v>40</v>
      </c>
      <c r="Z9" s="282"/>
      <c r="AA9" s="282"/>
      <c r="AB9" s="282"/>
      <c r="AC9" s="247">
        <f>[2]AMS_raw!AQ85</f>
        <v>198</v>
      </c>
      <c r="AD9" s="247">
        <f>[2]AMS_raw!AR85</f>
        <v>35</v>
      </c>
      <c r="AE9" s="261"/>
      <c r="AF9" s="247">
        <f>[2]AMS_raw!AD85</f>
        <v>125</v>
      </c>
      <c r="AG9" s="247">
        <f>[2]AMS_raw!AE85</f>
        <v>52</v>
      </c>
      <c r="AH9" s="247">
        <f>[2]AMS_raw!AG85</f>
        <v>7</v>
      </c>
      <c r="AI9" s="247">
        <f>[2]AMS_raw!AH85</f>
        <v>20</v>
      </c>
      <c r="AJ9" s="247">
        <f>[2]AMS_raw!AJ85</f>
        <v>265</v>
      </c>
      <c r="AK9" s="247">
        <f>[2]AMS_raw!AK85</f>
        <v>31</v>
      </c>
      <c r="AL9" s="259"/>
      <c r="AM9" s="262">
        <f>AF9</f>
        <v>125</v>
      </c>
      <c r="AN9">
        <f>AG9</f>
        <v>52</v>
      </c>
      <c r="AO9" s="283" t="s">
        <v>1368</v>
      </c>
      <c r="AP9" s="262">
        <f>AJ9</f>
        <v>265</v>
      </c>
      <c r="AQ9">
        <f>AK9</f>
        <v>31</v>
      </c>
      <c r="AR9" s="283" t="s">
        <v>1369</v>
      </c>
      <c r="AS9"/>
      <c r="AV9" s="259"/>
      <c r="AW9" s="259"/>
      <c r="AY9" t="s">
        <v>103</v>
      </c>
      <c r="AZ9" t="s">
        <v>1370</v>
      </c>
      <c r="BA9" s="5">
        <f>AVERAGE(AP9:AP10)+90-360</f>
        <v>2</v>
      </c>
      <c r="BB9" s="5">
        <f>90-AVERAGE(AQ9:AQ10)</f>
        <v>56.5</v>
      </c>
      <c r="BC9" s="7">
        <v>277.39999999999998</v>
      </c>
      <c r="BD9" s="7" t="s">
        <v>1480</v>
      </c>
      <c r="BE9" s="7" t="s">
        <v>258</v>
      </c>
    </row>
    <row r="10" spans="1:106">
      <c r="A10" s="278" t="s">
        <v>1367</v>
      </c>
      <c r="B10" s="247" t="str">
        <f>[2]AMS_raw!A86</f>
        <v>BB4_3</v>
      </c>
      <c r="C10" s="73"/>
      <c r="D10" s="246"/>
      <c r="E10" s="247"/>
      <c r="F10" s="247"/>
      <c r="G10" s="247"/>
      <c r="H10" s="247">
        <v>59</v>
      </c>
      <c r="I10" s="247">
        <v>13</v>
      </c>
      <c r="J10" s="250"/>
      <c r="K10" s="279">
        <f>[2]AMS_raw!G86</f>
        <v>521.4</v>
      </c>
      <c r="L10" s="256">
        <f>[2]AMS_raw!H86</f>
        <v>0.14399999999999999</v>
      </c>
      <c r="M10" s="247">
        <f>[2]AMS_raw!M86</f>
        <v>1.0409999999999999</v>
      </c>
      <c r="N10" s="247">
        <f>[2]AMS_raw!N86</f>
        <v>0.99029999999999996</v>
      </c>
      <c r="O10" s="247">
        <f>[2]AMS_raw!O86</f>
        <v>0.96860000000000002</v>
      </c>
      <c r="P10" s="255"/>
      <c r="Q10" s="256"/>
      <c r="R10" s="256"/>
      <c r="S10" s="280">
        <f>[2]AMS_raw!S86</f>
        <v>1.079</v>
      </c>
      <c r="T10" s="280">
        <f>[2]AMS_raw!T86</f>
        <v>0.97299999999999998</v>
      </c>
      <c r="U10" s="281">
        <f>[2]AMS_raw!U86</f>
        <v>-0.38600000000000001</v>
      </c>
      <c r="V10" s="256">
        <f t="shared" si="1"/>
        <v>6.9548511047070045</v>
      </c>
      <c r="W10" s="247">
        <f>[2]AMS_raw!V86</f>
        <v>-0.40200000000000002</v>
      </c>
      <c r="X10" s="247">
        <f>[2]AMS_raw!AM86</f>
        <v>68</v>
      </c>
      <c r="Y10" s="247">
        <f>[2]AMS_raw!AN86</f>
        <v>40</v>
      </c>
      <c r="Z10" s="282"/>
      <c r="AA10" s="282"/>
      <c r="AB10" s="282"/>
      <c r="AC10" s="247">
        <f>[2]AMS_raw!AQ86</f>
        <v>210</v>
      </c>
      <c r="AD10" s="247">
        <f>[2]AMS_raw!AR86</f>
        <v>44</v>
      </c>
      <c r="AE10" s="261"/>
      <c r="AF10" s="247">
        <f>[2]AMS_raw!AD86</f>
        <v>121</v>
      </c>
      <c r="AG10" s="247">
        <f>[2]AMS_raw!AE86</f>
        <v>51</v>
      </c>
      <c r="AH10" s="247">
        <f>[2]AMS_raw!AG86</f>
        <v>17</v>
      </c>
      <c r="AI10" s="247">
        <f>[2]AMS_raw!AH86</f>
        <v>11</v>
      </c>
      <c r="AJ10" s="247">
        <f>[2]AMS_raw!AJ86</f>
        <v>279</v>
      </c>
      <c r="AK10" s="247">
        <f>[2]AMS_raw!AK86</f>
        <v>36</v>
      </c>
      <c r="AL10" s="259"/>
      <c r="AM10" s="262">
        <f t="shared" ref="AM10:AN12" si="6">AF10</f>
        <v>121</v>
      </c>
      <c r="AN10">
        <f t="shared" si="6"/>
        <v>51</v>
      </c>
      <c r="AO10" s="283" t="s">
        <v>1368</v>
      </c>
      <c r="AP10" s="262">
        <f t="shared" ref="AP10:AQ12" si="7">AJ10</f>
        <v>279</v>
      </c>
      <c r="AQ10">
        <f t="shared" si="7"/>
        <v>36</v>
      </c>
      <c r="AR10" s="283" t="s">
        <v>1369</v>
      </c>
      <c r="AS10"/>
      <c r="AV10" s="259"/>
      <c r="AW10" s="259"/>
      <c r="AY10" t="s">
        <v>103</v>
      </c>
      <c r="AZ10" t="s">
        <v>1370</v>
      </c>
    </row>
    <row r="11" spans="1:106">
      <c r="A11" s="278" t="s">
        <v>1367</v>
      </c>
      <c r="B11" s="247" t="str">
        <f>[2]AMS_raw!A87</f>
        <v>BB5_2</v>
      </c>
      <c r="C11" s="73"/>
      <c r="D11" s="246"/>
      <c r="E11" s="247"/>
      <c r="F11" s="247"/>
      <c r="G11" s="247"/>
      <c r="H11" s="247">
        <v>239</v>
      </c>
      <c r="I11" s="247">
        <v>62</v>
      </c>
      <c r="J11" s="250"/>
      <c r="K11" s="284">
        <f>[2]AMS_raw!G87</f>
        <v>155.6</v>
      </c>
      <c r="L11" s="256">
        <f>[2]AMS_raw!H87</f>
        <v>0.22600000000000001</v>
      </c>
      <c r="M11" s="247">
        <f>[2]AMS_raw!M87</f>
        <v>1.0294000000000001</v>
      </c>
      <c r="N11" s="247">
        <f>[2]AMS_raw!N87</f>
        <v>0.99</v>
      </c>
      <c r="O11" s="247">
        <f>[2]AMS_raw!O87</f>
        <v>0.98060000000000003</v>
      </c>
      <c r="P11" s="255"/>
      <c r="Q11" s="256"/>
      <c r="R11" s="256"/>
      <c r="S11" s="280">
        <f>[2]AMS_raw!S87</f>
        <v>1.353</v>
      </c>
      <c r="T11" s="280">
        <f>[2]AMS_raw!T87</f>
        <v>0.97099999999999997</v>
      </c>
      <c r="U11" s="281">
        <f>[2]AMS_raw!U87</f>
        <v>-0.60599999999999998</v>
      </c>
      <c r="V11" s="256">
        <f t="shared" si="1"/>
        <v>4.7406256071498012</v>
      </c>
      <c r="W11" s="247">
        <f>[2]AMS_raw!V87</f>
        <v>-0.61399999999999999</v>
      </c>
      <c r="X11" s="247">
        <f>[2]AMS_raw!AM87</f>
        <v>357</v>
      </c>
      <c r="Y11" s="247">
        <f>[2]AMS_raw!AN87</f>
        <v>0</v>
      </c>
      <c r="Z11" s="282"/>
      <c r="AA11" s="282"/>
      <c r="AB11" s="282"/>
      <c r="AC11" s="247">
        <f>[2]AMS_raw!AQ87</f>
        <v>226</v>
      </c>
      <c r="AD11" s="247">
        <f>[2]AMS_raw!AR87</f>
        <v>89</v>
      </c>
      <c r="AE11" s="261"/>
      <c r="AF11" s="247">
        <f>[2]AMS_raw!AD87</f>
        <v>58</v>
      </c>
      <c r="AG11" s="247">
        <f>[2]AMS_raw!AE87</f>
        <v>3</v>
      </c>
      <c r="AH11" s="247">
        <f>[2]AMS_raw!AG87</f>
        <v>323</v>
      </c>
      <c r="AI11" s="247">
        <f>[2]AMS_raw!AH87</f>
        <v>62</v>
      </c>
      <c r="AJ11" s="247">
        <f>[2]AMS_raw!AJ87</f>
        <v>149</v>
      </c>
      <c r="AK11" s="247">
        <f>[2]AMS_raw!AK87</f>
        <v>28</v>
      </c>
      <c r="AL11" s="259"/>
      <c r="AM11" s="262">
        <f t="shared" si="6"/>
        <v>58</v>
      </c>
      <c r="AN11">
        <f t="shared" si="6"/>
        <v>3</v>
      </c>
      <c r="AO11" t="s">
        <v>1343</v>
      </c>
      <c r="AP11" s="262">
        <f t="shared" si="7"/>
        <v>149</v>
      </c>
      <c r="AQ11">
        <f t="shared" si="7"/>
        <v>28</v>
      </c>
      <c r="AR11" t="s">
        <v>1345</v>
      </c>
      <c r="AS11"/>
      <c r="AV11" s="259"/>
      <c r="AW11" s="259"/>
      <c r="AY11" t="s">
        <v>103</v>
      </c>
      <c r="AZ11" t="s">
        <v>181</v>
      </c>
      <c r="BA11" s="285">
        <f>AVERAGE(AP11:AP12)+90</f>
        <v>239.5</v>
      </c>
      <c r="BB11" s="285">
        <f>90-AVERAGE(AQ11:AQ12)</f>
        <v>53</v>
      </c>
      <c r="BC11" s="286">
        <v>275.39999999999998</v>
      </c>
      <c r="BD11" s="286" t="s">
        <v>1481</v>
      </c>
      <c r="BE11" s="7" t="s">
        <v>1501</v>
      </c>
    </row>
    <row r="12" spans="1:106">
      <c r="A12" s="278" t="s">
        <v>1367</v>
      </c>
      <c r="B12" s="247" t="str">
        <f>[2]AMS_raw!A88</f>
        <v>BB5_3</v>
      </c>
      <c r="C12" s="73"/>
      <c r="D12" s="246"/>
      <c r="E12" s="247"/>
      <c r="F12" s="247"/>
      <c r="G12" s="247"/>
      <c r="H12" s="247">
        <v>239</v>
      </c>
      <c r="I12" s="247">
        <v>62</v>
      </c>
      <c r="J12" s="250"/>
      <c r="K12" s="284">
        <f>[2]AMS_raw!G88</f>
        <v>144.9</v>
      </c>
      <c r="L12" s="256">
        <f>[2]AMS_raw!H88</f>
        <v>0.20399999999999999</v>
      </c>
      <c r="M12" s="247">
        <f>[2]AMS_raw!M88</f>
        <v>1.0288999999999999</v>
      </c>
      <c r="N12" s="247">
        <f>[2]AMS_raw!N88</f>
        <v>0.98909999999999998</v>
      </c>
      <c r="O12" s="247">
        <f>[2]AMS_raw!O88</f>
        <v>0.98209999999999997</v>
      </c>
      <c r="P12" s="255"/>
      <c r="Q12" s="256"/>
      <c r="R12" s="256"/>
      <c r="S12" s="280">
        <f>[2]AMS_raw!S88</f>
        <v>1.48</v>
      </c>
      <c r="T12" s="280">
        <f>[2]AMS_raw!T88</f>
        <v>0.96799999999999997</v>
      </c>
      <c r="U12" s="281">
        <f>[2]AMS_raw!U88</f>
        <v>-0.69499999999999995</v>
      </c>
      <c r="V12" s="256">
        <f t="shared" si="1"/>
        <v>4.5485469919331285</v>
      </c>
      <c r="W12" s="247">
        <f>[2]AMS_raw!V88</f>
        <v>-0.70099999999999996</v>
      </c>
      <c r="X12" s="247">
        <f>[2]AMS_raw!AM88</f>
        <v>183</v>
      </c>
      <c r="Y12" s="247">
        <f>[2]AMS_raw!AN88</f>
        <v>1</v>
      </c>
      <c r="Z12" s="282"/>
      <c r="AA12" s="282"/>
      <c r="AB12" s="282"/>
      <c r="AC12" s="247">
        <f>[2]AMS_raw!AQ88</f>
        <v>89</v>
      </c>
      <c r="AD12" s="247">
        <f>[2]AMS_raw!AR88</f>
        <v>72</v>
      </c>
      <c r="AE12" s="261"/>
      <c r="AF12" s="247">
        <f>[2]AMS_raw!AD88</f>
        <v>242</v>
      </c>
      <c r="AG12" s="247">
        <f>[2]AMS_raw!AE88</f>
        <v>2</v>
      </c>
      <c r="AH12" s="247">
        <f>[2]AMS_raw!AG88</f>
        <v>334</v>
      </c>
      <c r="AI12" s="247">
        <f>[2]AMS_raw!AH88</f>
        <v>44</v>
      </c>
      <c r="AJ12" s="247">
        <f>[2]AMS_raw!AJ88</f>
        <v>150</v>
      </c>
      <c r="AK12" s="247">
        <f>[2]AMS_raw!AK88</f>
        <v>46</v>
      </c>
      <c r="AL12" s="259"/>
      <c r="AM12" s="262">
        <f t="shared" si="6"/>
        <v>242</v>
      </c>
      <c r="AN12">
        <f t="shared" si="6"/>
        <v>2</v>
      </c>
      <c r="AO12" t="s">
        <v>1343</v>
      </c>
      <c r="AP12" s="262">
        <f t="shared" si="7"/>
        <v>150</v>
      </c>
      <c r="AQ12">
        <f t="shared" si="7"/>
        <v>46</v>
      </c>
      <c r="AR12" t="s">
        <v>1345</v>
      </c>
      <c r="AS12"/>
      <c r="AV12" s="259"/>
      <c r="AW12" s="259"/>
      <c r="AY12" t="s">
        <v>103</v>
      </c>
      <c r="AZ12" t="s">
        <v>181</v>
      </c>
      <c r="BA12" s="287"/>
      <c r="BB12" s="286"/>
      <c r="BC12" s="286"/>
      <c r="BD12" s="286"/>
    </row>
    <row r="13" spans="1:106" s="283" customFormat="1">
      <c r="A13" s="278" t="s">
        <v>1367</v>
      </c>
      <c r="B13" s="288" t="s">
        <v>1371</v>
      </c>
      <c r="C13" s="283">
        <v>22.869</v>
      </c>
      <c r="D13" s="289">
        <v>3</v>
      </c>
      <c r="E13" s="290">
        <v>0</v>
      </c>
      <c r="F13" s="290">
        <v>3</v>
      </c>
      <c r="G13" s="290">
        <v>90</v>
      </c>
      <c r="H13" s="291">
        <v>92.4</v>
      </c>
      <c r="I13" s="292">
        <v>37</v>
      </c>
      <c r="J13" s="250">
        <f t="shared" si="0"/>
        <v>272.39999999999998</v>
      </c>
      <c r="K13" s="251">
        <f>441</f>
        <v>441</v>
      </c>
      <c r="L13" s="293">
        <v>3.4000000000000002E-2</v>
      </c>
      <c r="M13" s="294">
        <v>1.0275000000000001</v>
      </c>
      <c r="N13" s="295">
        <v>0.996</v>
      </c>
      <c r="O13" s="295">
        <v>0.97650000000000003</v>
      </c>
      <c r="P13" s="296">
        <v>1.052</v>
      </c>
      <c r="Q13" s="297">
        <v>1.032</v>
      </c>
      <c r="R13" s="297">
        <v>1.02</v>
      </c>
      <c r="S13" s="257">
        <v>0.89400000000000002</v>
      </c>
      <c r="T13" s="257">
        <v>0.98899999999999999</v>
      </c>
      <c r="U13" s="258">
        <v>-0.224</v>
      </c>
      <c r="V13" s="297">
        <f t="shared" si="1"/>
        <v>4.9635036496350411</v>
      </c>
      <c r="W13" s="293">
        <v>-0.23599999999999999</v>
      </c>
      <c r="X13" s="298">
        <v>199</v>
      </c>
      <c r="Y13" s="298">
        <v>15</v>
      </c>
      <c r="Z13" s="299">
        <v>1.3</v>
      </c>
      <c r="AA13" s="299">
        <v>325</v>
      </c>
      <c r="AB13" s="299">
        <v>66</v>
      </c>
      <c r="AC13" s="298">
        <v>104</v>
      </c>
      <c r="AD13" s="298">
        <v>19</v>
      </c>
      <c r="AE13" s="300">
        <v>0.8</v>
      </c>
      <c r="AF13" s="283">
        <v>296.39999999999998</v>
      </c>
      <c r="AG13" s="301">
        <v>1</v>
      </c>
      <c r="AH13" s="301"/>
      <c r="AI13" s="301"/>
      <c r="AJ13" s="301">
        <v>205.5</v>
      </c>
      <c r="AK13" s="283">
        <v>54.3</v>
      </c>
      <c r="AL13" s="302" t="s">
        <v>1361</v>
      </c>
      <c r="AM13" s="262">
        <f t="shared" si="2"/>
        <v>296.39999999999998</v>
      </c>
      <c r="AN13">
        <f t="shared" si="3"/>
        <v>1</v>
      </c>
      <c r="AO13" s="283" t="s">
        <v>1368</v>
      </c>
      <c r="AP13" s="262">
        <f t="shared" si="4"/>
        <v>205.5</v>
      </c>
      <c r="AQ13">
        <f t="shared" si="5"/>
        <v>54.3</v>
      </c>
      <c r="AR13" s="7" t="s">
        <v>1372</v>
      </c>
      <c r="AS13" s="7">
        <v>25.5</v>
      </c>
      <c r="AT13" s="7">
        <v>54.3</v>
      </c>
      <c r="AU13" s="7"/>
      <c r="AV13" s="302">
        <v>296.39999999999998</v>
      </c>
      <c r="AW13" s="302">
        <v>1</v>
      </c>
      <c r="AX13" s="7" t="s">
        <v>1368</v>
      </c>
      <c r="AY13" s="7" t="s">
        <v>103</v>
      </c>
      <c r="AZ13" s="7" t="s">
        <v>1373</v>
      </c>
      <c r="BA13" s="285">
        <f>AVERAGE(AP13:AP14,AP14)+90</f>
        <v>296.70000000000005</v>
      </c>
      <c r="BB13" s="285">
        <f>90-AVERAGE(AQ13:AQ14,AQ16)</f>
        <v>39.900000000000006</v>
      </c>
      <c r="BC13" s="286">
        <v>277.39999999999998</v>
      </c>
      <c r="BD13" s="286" t="s">
        <v>1480</v>
      </c>
      <c r="BE13" s="7" t="s">
        <v>1501</v>
      </c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</row>
    <row r="14" spans="1:106" s="283" customFormat="1">
      <c r="A14" s="278" t="s">
        <v>1367</v>
      </c>
      <c r="B14" s="288" t="s">
        <v>1374</v>
      </c>
      <c r="C14" s="283">
        <v>23.855</v>
      </c>
      <c r="D14" s="289">
        <v>3</v>
      </c>
      <c r="E14" s="290">
        <v>0</v>
      </c>
      <c r="F14" s="290">
        <v>3</v>
      </c>
      <c r="G14" s="290">
        <v>90</v>
      </c>
      <c r="H14" s="291">
        <v>92.4</v>
      </c>
      <c r="I14" s="292">
        <v>37</v>
      </c>
      <c r="J14" s="250">
        <f t="shared" si="0"/>
        <v>272.39999999999998</v>
      </c>
      <c r="K14" s="251">
        <f>447</f>
        <v>447</v>
      </c>
      <c r="L14" s="293">
        <v>1.2999999999999999E-2</v>
      </c>
      <c r="M14" s="294">
        <v>1.0264</v>
      </c>
      <c r="N14" s="295">
        <v>0.99539999999999995</v>
      </c>
      <c r="O14" s="295">
        <v>0.97819999999999996</v>
      </c>
      <c r="P14" s="296">
        <v>1.0489999999999999</v>
      </c>
      <c r="Q14" s="297">
        <v>1.0309999999999999</v>
      </c>
      <c r="R14" s="297">
        <v>1.018</v>
      </c>
      <c r="S14" s="257">
        <v>0.94699999999999995</v>
      </c>
      <c r="T14" s="257">
        <v>0.98699999999999999</v>
      </c>
      <c r="U14" s="258">
        <v>-0.27400000000000002</v>
      </c>
      <c r="V14" s="297">
        <f t="shared" si="1"/>
        <v>4.6960249415432598</v>
      </c>
      <c r="W14" s="293">
        <v>-0.28499999999999998</v>
      </c>
      <c r="X14" s="298">
        <v>199</v>
      </c>
      <c r="Y14" s="298">
        <v>11</v>
      </c>
      <c r="Z14" s="299">
        <v>0.5</v>
      </c>
      <c r="AA14" s="299">
        <v>323</v>
      </c>
      <c r="AB14" s="299">
        <v>70</v>
      </c>
      <c r="AC14" s="298">
        <v>106</v>
      </c>
      <c r="AD14" s="298">
        <v>16</v>
      </c>
      <c r="AE14" s="300">
        <v>0.3</v>
      </c>
      <c r="AF14" s="283">
        <v>294.10000000000002</v>
      </c>
      <c r="AG14" s="301">
        <v>-2.2999999999999998</v>
      </c>
      <c r="AH14" s="301"/>
      <c r="AI14" s="301"/>
      <c r="AJ14" s="301">
        <v>207.3</v>
      </c>
      <c r="AK14" s="283">
        <v>50.9</v>
      </c>
      <c r="AL14" s="302" t="s">
        <v>1361</v>
      </c>
      <c r="AM14" s="262">
        <f t="shared" si="2"/>
        <v>114.10000000000002</v>
      </c>
      <c r="AN14">
        <f t="shared" si="3"/>
        <v>2.2999999999999998</v>
      </c>
      <c r="AO14" s="283" t="s">
        <v>1368</v>
      </c>
      <c r="AP14" s="262">
        <f t="shared" si="4"/>
        <v>207.3</v>
      </c>
      <c r="AQ14">
        <f t="shared" si="5"/>
        <v>50.9</v>
      </c>
      <c r="AR14" s="7" t="s">
        <v>1372</v>
      </c>
      <c r="AS14" s="7">
        <v>27.3</v>
      </c>
      <c r="AT14" s="7">
        <v>50.9</v>
      </c>
      <c r="AU14" s="7"/>
      <c r="AV14" s="302">
        <v>114.10000000000002</v>
      </c>
      <c r="AW14" s="302">
        <v>2.2999999999999998</v>
      </c>
      <c r="AX14" s="7" t="s">
        <v>1368</v>
      </c>
      <c r="AY14" s="7" t="s">
        <v>103</v>
      </c>
      <c r="AZ14" s="7" t="s">
        <v>1373</v>
      </c>
      <c r="BA14" s="66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</row>
    <row r="15" spans="1:106" s="283" customFormat="1">
      <c r="A15" s="278" t="s">
        <v>1367</v>
      </c>
      <c r="B15" s="288" t="s">
        <v>1375</v>
      </c>
      <c r="C15" s="303"/>
      <c r="D15" s="289">
        <v>3</v>
      </c>
      <c r="E15" s="290">
        <v>0</v>
      </c>
      <c r="F15" s="290">
        <v>3</v>
      </c>
      <c r="G15" s="290">
        <v>90</v>
      </c>
      <c r="H15" s="291">
        <v>92.4</v>
      </c>
      <c r="I15" s="292">
        <v>37</v>
      </c>
      <c r="J15" s="250">
        <f t="shared" si="0"/>
        <v>272.39999999999998</v>
      </c>
      <c r="K15" s="251">
        <f>463.5</f>
        <v>463.5</v>
      </c>
      <c r="L15" s="293">
        <v>1.0569999999999999</v>
      </c>
      <c r="M15" s="294">
        <v>1.0112000000000001</v>
      </c>
      <c r="N15" s="295">
        <v>0.99709999999999999</v>
      </c>
      <c r="O15" s="295">
        <v>0.99170000000000003</v>
      </c>
      <c r="P15" s="296">
        <v>1.02</v>
      </c>
      <c r="Q15" s="297">
        <v>1.014</v>
      </c>
      <c r="R15" s="297">
        <v>1.0049999999999999</v>
      </c>
      <c r="S15" s="257">
        <v>1.141</v>
      </c>
      <c r="T15" s="257">
        <v>0.99099999999999999</v>
      </c>
      <c r="U15" s="258">
        <v>-0.44900000000000001</v>
      </c>
      <c r="V15" s="297">
        <f t="shared" si="1"/>
        <v>1.9284018987341842</v>
      </c>
      <c r="W15" s="293">
        <v>-0.45300000000000001</v>
      </c>
      <c r="X15" s="298">
        <v>237</v>
      </c>
      <c r="Y15" s="298">
        <v>55.2</v>
      </c>
      <c r="Z15" s="299">
        <v>57</v>
      </c>
      <c r="AA15" s="299">
        <v>327</v>
      </c>
      <c r="AB15" s="299">
        <v>0</v>
      </c>
      <c r="AC15" s="298">
        <v>57</v>
      </c>
      <c r="AD15" s="298">
        <v>62</v>
      </c>
      <c r="AE15" s="300">
        <v>46.8</v>
      </c>
      <c r="AF15" s="283">
        <v>342.9</v>
      </c>
      <c r="AG15" s="301">
        <v>21.6</v>
      </c>
      <c r="AH15" s="301"/>
      <c r="AI15" s="301"/>
      <c r="AJ15" s="301">
        <v>52.1</v>
      </c>
      <c r="AK15" s="283">
        <v>70.400000000000006</v>
      </c>
      <c r="AL15" s="302" t="s">
        <v>1361</v>
      </c>
      <c r="AM15" s="304">
        <f t="shared" si="2"/>
        <v>342.9</v>
      </c>
      <c r="AN15" s="305">
        <f t="shared" si="3"/>
        <v>21.6</v>
      </c>
      <c r="AO15" s="283" t="s">
        <v>1368</v>
      </c>
      <c r="AP15" s="304">
        <f t="shared" si="4"/>
        <v>52.1</v>
      </c>
      <c r="AQ15" s="305">
        <f t="shared" si="5"/>
        <v>70.400000000000006</v>
      </c>
      <c r="AR15" s="7" t="s">
        <v>1372</v>
      </c>
      <c r="AS15" s="7">
        <v>232.1</v>
      </c>
      <c r="AT15" s="7">
        <v>70.400000000000006</v>
      </c>
      <c r="AU15" s="7"/>
      <c r="AV15" s="302">
        <v>342.9</v>
      </c>
      <c r="AW15" s="302">
        <v>21.6</v>
      </c>
      <c r="AX15" s="7" t="s">
        <v>1368</v>
      </c>
      <c r="AY15" s="7" t="s">
        <v>103</v>
      </c>
      <c r="AZ15" s="7" t="s">
        <v>181</v>
      </c>
      <c r="BA15" s="66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</row>
    <row r="16" spans="1:106" s="283" customFormat="1">
      <c r="A16" s="278" t="s">
        <v>1367</v>
      </c>
      <c r="B16" s="306" t="s">
        <v>1376</v>
      </c>
      <c r="C16" s="307"/>
      <c r="D16" s="308">
        <v>3</v>
      </c>
      <c r="E16" s="306">
        <v>0</v>
      </c>
      <c r="F16" s="306">
        <v>3</v>
      </c>
      <c r="G16" s="306">
        <v>90</v>
      </c>
      <c r="H16" s="291">
        <v>92.4</v>
      </c>
      <c r="I16" s="292">
        <v>37</v>
      </c>
      <c r="J16" s="250">
        <f t="shared" si="0"/>
        <v>272.39999999999998</v>
      </c>
      <c r="K16" s="267">
        <f>416.2</f>
        <v>416.2</v>
      </c>
      <c r="L16" s="309">
        <v>5.0000000000000001E-3</v>
      </c>
      <c r="M16" s="310">
        <v>1.0293000000000001</v>
      </c>
      <c r="N16" s="311">
        <v>0.99739999999999995</v>
      </c>
      <c r="O16" s="311">
        <v>0.97330000000000005</v>
      </c>
      <c r="P16" s="312">
        <v>1.0569999999999999</v>
      </c>
      <c r="Q16" s="313">
        <v>1.032</v>
      </c>
      <c r="R16" s="313">
        <v>1.0249999999999999</v>
      </c>
      <c r="S16" s="273">
        <v>0.79700000000000004</v>
      </c>
      <c r="T16" s="273">
        <v>0.99299999999999999</v>
      </c>
      <c r="U16" s="274">
        <v>-0.126</v>
      </c>
      <c r="V16" s="297">
        <f t="shared" si="1"/>
        <v>5.4405906927037835</v>
      </c>
      <c r="W16" s="309">
        <v>-0.13900000000000001</v>
      </c>
      <c r="X16" s="314">
        <v>198</v>
      </c>
      <c r="Y16" s="314">
        <v>12</v>
      </c>
      <c r="Z16" s="315">
        <v>0.2</v>
      </c>
      <c r="AA16" s="299">
        <v>339</v>
      </c>
      <c r="AB16" s="299">
        <v>74</v>
      </c>
      <c r="AC16" s="314">
        <v>106</v>
      </c>
      <c r="AD16" s="314">
        <v>10</v>
      </c>
      <c r="AE16" s="316">
        <v>0.1</v>
      </c>
      <c r="AF16" s="283">
        <v>293.89999999999998</v>
      </c>
      <c r="AG16" s="301">
        <v>-0.9</v>
      </c>
      <c r="AH16" s="301"/>
      <c r="AI16" s="301"/>
      <c r="AJ16" s="301">
        <v>205</v>
      </c>
      <c r="AK16" s="283">
        <v>45.1</v>
      </c>
      <c r="AL16" s="302" t="s">
        <v>1361</v>
      </c>
      <c r="AM16" s="262">
        <f t="shared" si="2"/>
        <v>113.89999999999998</v>
      </c>
      <c r="AN16">
        <f t="shared" si="3"/>
        <v>0.9</v>
      </c>
      <c r="AO16" s="283" t="s">
        <v>1368</v>
      </c>
      <c r="AP16" s="262">
        <f t="shared" si="4"/>
        <v>205</v>
      </c>
      <c r="AQ16">
        <f t="shared" si="5"/>
        <v>45.1</v>
      </c>
      <c r="AR16" s="7" t="s">
        <v>1372</v>
      </c>
      <c r="AS16" s="7">
        <v>25</v>
      </c>
      <c r="AT16" s="7">
        <v>45.1</v>
      </c>
      <c r="AU16" s="7"/>
      <c r="AV16" s="317">
        <v>113.89999999999998</v>
      </c>
      <c r="AW16" s="317">
        <v>0.9</v>
      </c>
      <c r="AX16" s="7" t="s">
        <v>1368</v>
      </c>
      <c r="AY16" s="7" t="s">
        <v>1377</v>
      </c>
      <c r="AZ16" s="7" t="s">
        <v>1373</v>
      </c>
      <c r="BA16" s="66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</row>
    <row r="17" spans="1:106" s="283" customFormat="1">
      <c r="A17" s="278" t="s">
        <v>1367</v>
      </c>
      <c r="B17" s="290" t="str">
        <f>[2]AMS_raw!A89</f>
        <v>BB7_2</v>
      </c>
      <c r="C17" s="318"/>
      <c r="D17" s="289"/>
      <c r="E17" s="290"/>
      <c r="F17" s="290"/>
      <c r="G17" s="290"/>
      <c r="H17" s="247">
        <v>152</v>
      </c>
      <c r="I17" s="247">
        <v>55</v>
      </c>
      <c r="J17" s="250"/>
      <c r="K17" s="279">
        <f>[2]AMS_raw!G89</f>
        <v>367.8</v>
      </c>
      <c r="L17" s="256">
        <f>[2]AMS_raw!H89</f>
        <v>0.09</v>
      </c>
      <c r="M17" s="247">
        <f>[2]AMS_raw!M89</f>
        <v>1.0162</v>
      </c>
      <c r="N17" s="247">
        <f>[2]AMS_raw!N89</f>
        <v>1.0126999999999999</v>
      </c>
      <c r="O17" s="247">
        <f>[2]AMS_raw!O89</f>
        <v>0.97109999999999996</v>
      </c>
      <c r="P17" s="255"/>
      <c r="Q17" s="256"/>
      <c r="R17" s="256"/>
      <c r="S17" s="280">
        <f>[2]AMS_raw!S89</f>
        <v>8.1000000000000003E-2</v>
      </c>
      <c r="T17" s="280">
        <f>[2]AMS_raw!T89</f>
        <v>1.0389999999999999</v>
      </c>
      <c r="U17" s="280">
        <f>[2]AMS_raw!U89</f>
        <v>0.84699999999999998</v>
      </c>
      <c r="V17" s="256">
        <f t="shared" si="1"/>
        <v>4.438102735681956</v>
      </c>
      <c r="W17" s="247">
        <f>[2]AMS_raw!V89</f>
        <v>0.84399999999999997</v>
      </c>
      <c r="X17" s="247">
        <f>[2]AMS_raw!AM89</f>
        <v>252</v>
      </c>
      <c r="Y17" s="247">
        <f>[2]AMS_raw!AN89</f>
        <v>50</v>
      </c>
      <c r="Z17" s="282"/>
      <c r="AA17" s="282"/>
      <c r="AB17" s="282"/>
      <c r="AC17" s="247">
        <f>[2]AMS_raw!AQ89</f>
        <v>57</v>
      </c>
      <c r="AD17" s="247">
        <f>[2]AMS_raw!AR89</f>
        <v>39</v>
      </c>
      <c r="AE17" s="261"/>
      <c r="AF17" s="247">
        <f>[2]AMS_raw!AD89</f>
        <v>231</v>
      </c>
      <c r="AG17" s="247">
        <f>[2]AMS_raw!AE89</f>
        <v>4</v>
      </c>
      <c r="AH17" s="247">
        <f>[2]AMS_raw!AG89</f>
        <v>322</v>
      </c>
      <c r="AI17" s="247">
        <f>[2]AMS_raw!AH89</f>
        <v>26</v>
      </c>
      <c r="AJ17" s="247">
        <f>[2]AMS_raw!AJ89</f>
        <v>133</v>
      </c>
      <c r="AK17" s="247">
        <f>[2]AMS_raw!AK89</f>
        <v>64</v>
      </c>
      <c r="AL17" s="302"/>
      <c r="AM17" s="262">
        <f t="shared" si="2"/>
        <v>231</v>
      </c>
      <c r="AN17">
        <f t="shared" si="3"/>
        <v>4</v>
      </c>
      <c r="AO17" t="s">
        <v>1343</v>
      </c>
      <c r="AP17" s="262">
        <f t="shared" si="4"/>
        <v>133</v>
      </c>
      <c r="AQ17">
        <f t="shared" si="5"/>
        <v>64</v>
      </c>
      <c r="AR17" t="s">
        <v>1356</v>
      </c>
      <c r="AS17" s="7"/>
      <c r="AT17" s="7"/>
      <c r="AU17" s="7"/>
      <c r="AV17" s="302"/>
      <c r="AW17" s="302"/>
      <c r="AX17" s="7"/>
      <c r="AY17" s="7" t="s">
        <v>1378</v>
      </c>
      <c r="AZ17" s="7" t="s">
        <v>1379</v>
      </c>
      <c r="BA17" s="129">
        <f>AVERAGE(AP17:AP18)+90</f>
        <v>221</v>
      </c>
      <c r="BB17" s="129">
        <f>90-AVERAGE(AQ17:AQ18)</f>
        <v>25</v>
      </c>
      <c r="BC17" s="7">
        <v>283.39999999999998</v>
      </c>
      <c r="BD17" s="7" t="s">
        <v>1481</v>
      </c>
      <c r="BE17" s="7" t="s">
        <v>1500</v>
      </c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</row>
    <row r="18" spans="1:106" s="283" customFormat="1">
      <c r="A18" s="278" t="s">
        <v>1367</v>
      </c>
      <c r="B18" s="290" t="str">
        <f>[2]AMS_raw!A90</f>
        <v>BB7_3</v>
      </c>
      <c r="C18" s="318"/>
      <c r="D18" s="289"/>
      <c r="E18" s="290"/>
      <c r="F18" s="290"/>
      <c r="G18" s="290"/>
      <c r="H18" s="247">
        <v>152</v>
      </c>
      <c r="I18" s="247">
        <v>55</v>
      </c>
      <c r="J18" s="250"/>
      <c r="K18" s="279">
        <f>[2]AMS_raw!G90</f>
        <v>339.9</v>
      </c>
      <c r="L18" s="256">
        <f>[2]AMS_raw!H90</f>
        <v>3.6999999999999998E-2</v>
      </c>
      <c r="M18" s="247">
        <f>[2]AMS_raw!M90</f>
        <v>1.0196000000000001</v>
      </c>
      <c r="N18" s="247">
        <f>[2]AMS_raw!N90</f>
        <v>1.0148999999999999</v>
      </c>
      <c r="O18" s="247">
        <f>[2]AMS_raw!O90</f>
        <v>0.96550000000000002</v>
      </c>
      <c r="P18" s="255"/>
      <c r="Q18" s="256"/>
      <c r="R18" s="256"/>
      <c r="S18" s="280">
        <f>[2]AMS_raw!S90</f>
        <v>0.09</v>
      </c>
      <c r="T18" s="280">
        <f>[2]AMS_raw!T90</f>
        <v>1.046</v>
      </c>
      <c r="U18" s="280">
        <f>[2]AMS_raw!U90</f>
        <v>0.83199999999999996</v>
      </c>
      <c r="V18" s="256">
        <f t="shared" si="1"/>
        <v>5.3060023538642636</v>
      </c>
      <c r="W18" s="247">
        <f>[2]AMS_raw!V90</f>
        <v>0.82799999999999996</v>
      </c>
      <c r="X18" s="247">
        <f>[2]AMS_raw!AM90</f>
        <v>253</v>
      </c>
      <c r="Y18" s="247">
        <f>[2]AMS_raw!AN90</f>
        <v>48</v>
      </c>
      <c r="Z18" s="282"/>
      <c r="AA18" s="282"/>
      <c r="AB18" s="282"/>
      <c r="AC18" s="247">
        <f>[2]AMS_raw!AQ90</f>
        <v>60</v>
      </c>
      <c r="AD18" s="247">
        <f>[2]AMS_raw!AR90</f>
        <v>41</v>
      </c>
      <c r="AE18" s="261"/>
      <c r="AF18" s="247">
        <f>[2]AMS_raw!AD90</f>
        <v>231</v>
      </c>
      <c r="AG18" s="247">
        <f>[2]AMS_raw!AE90</f>
        <v>5</v>
      </c>
      <c r="AH18" s="247">
        <f>[2]AMS_raw!AG90</f>
        <v>324</v>
      </c>
      <c r="AI18" s="247">
        <f>[2]AMS_raw!AH90</f>
        <v>24</v>
      </c>
      <c r="AJ18" s="247">
        <f>[2]AMS_raw!AJ90</f>
        <v>129</v>
      </c>
      <c r="AK18" s="247">
        <f>[2]AMS_raw!AK90</f>
        <v>66</v>
      </c>
      <c r="AL18" s="302"/>
      <c r="AM18" s="262">
        <f t="shared" si="2"/>
        <v>231</v>
      </c>
      <c r="AN18">
        <f t="shared" si="3"/>
        <v>5</v>
      </c>
      <c r="AO18" t="s">
        <v>1343</v>
      </c>
      <c r="AP18" s="262">
        <f t="shared" si="4"/>
        <v>129</v>
      </c>
      <c r="AQ18">
        <f t="shared" si="5"/>
        <v>66</v>
      </c>
      <c r="AR18" t="s">
        <v>1356</v>
      </c>
      <c r="AS18" s="7"/>
      <c r="AT18" s="7"/>
      <c r="AU18" s="7"/>
      <c r="AV18" s="302"/>
      <c r="AW18" s="302"/>
      <c r="AX18" s="7"/>
      <c r="AY18" s="7" t="s">
        <v>1380</v>
      </c>
      <c r="AZ18" s="7" t="s">
        <v>1379</v>
      </c>
      <c r="BA18" s="66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</row>
    <row r="19" spans="1:106" s="283" customFormat="1">
      <c r="A19" s="278" t="s">
        <v>1367</v>
      </c>
      <c r="B19" s="290" t="str">
        <f>[2]AMS_raw!A91</f>
        <v>BB8_2</v>
      </c>
      <c r="C19" s="318"/>
      <c r="D19" s="289"/>
      <c r="E19" s="290"/>
      <c r="F19" s="290"/>
      <c r="G19" s="290"/>
      <c r="H19" s="247">
        <v>139</v>
      </c>
      <c r="I19" s="247">
        <v>70</v>
      </c>
      <c r="J19" s="250"/>
      <c r="K19" s="279">
        <f>[2]AMS_raw!G91</f>
        <v>406.4</v>
      </c>
      <c r="L19" s="256">
        <f>[2]AMS_raw!H91</f>
        <v>9.4E-2</v>
      </c>
      <c r="M19" s="247">
        <f>[2]AMS_raw!M91</f>
        <v>1.0302</v>
      </c>
      <c r="N19" s="247">
        <f>[2]AMS_raw!N91</f>
        <v>0.99250000000000005</v>
      </c>
      <c r="O19" s="247">
        <f>[2]AMS_raw!O91</f>
        <v>0.97719999999999996</v>
      </c>
      <c r="P19" s="255"/>
      <c r="Q19" s="256"/>
      <c r="R19" s="256"/>
      <c r="S19" s="280">
        <f>[2]AMS_raw!S91</f>
        <v>1.1040000000000001</v>
      </c>
      <c r="T19" s="280">
        <f>[2]AMS_raw!T91</f>
        <v>0.97799999999999998</v>
      </c>
      <c r="U19" s="281">
        <f>[2]AMS_raw!U91</f>
        <v>-0.41199999999999998</v>
      </c>
      <c r="V19" s="256">
        <f t="shared" si="1"/>
        <v>5.1446321102698542</v>
      </c>
      <c r="W19" s="247">
        <f>[2]AMS_raw!V91</f>
        <v>-0.42299999999999999</v>
      </c>
      <c r="X19" s="247">
        <f>[2]AMS_raw!AM91</f>
        <v>326</v>
      </c>
      <c r="Y19" s="247">
        <f>[2]AMS_raw!AN91</f>
        <v>57</v>
      </c>
      <c r="Z19" s="282"/>
      <c r="AA19" s="282"/>
      <c r="AB19" s="282"/>
      <c r="AC19" s="247">
        <f>[2]AMS_raw!AQ91</f>
        <v>104</v>
      </c>
      <c r="AD19" s="247">
        <f>[2]AMS_raw!AR91</f>
        <v>26</v>
      </c>
      <c r="AE19" s="261"/>
      <c r="AF19" s="247">
        <f>[2]AMS_raw!AD91</f>
        <v>256</v>
      </c>
      <c r="AG19" s="247">
        <f>[2]AMS_raw!AE91</f>
        <v>0</v>
      </c>
      <c r="AH19" s="247">
        <f>[2]AMS_raw!AG91</f>
        <v>166</v>
      </c>
      <c r="AI19" s="247">
        <f>[2]AMS_raw!AH91</f>
        <v>14</v>
      </c>
      <c r="AJ19" s="247">
        <f>[2]AMS_raw!AJ91</f>
        <v>347</v>
      </c>
      <c r="AK19" s="247">
        <f>[2]AMS_raw!AK91</f>
        <v>76</v>
      </c>
      <c r="AL19" s="302"/>
      <c r="AM19" s="262">
        <f t="shared" si="2"/>
        <v>256</v>
      </c>
      <c r="AN19">
        <f t="shared" si="3"/>
        <v>0</v>
      </c>
      <c r="AO19" s="283" t="s">
        <v>1368</v>
      </c>
      <c r="AP19" s="262">
        <f t="shared" si="4"/>
        <v>347</v>
      </c>
      <c r="AQ19">
        <f t="shared" si="5"/>
        <v>76</v>
      </c>
      <c r="AR19" s="7" t="s">
        <v>1372</v>
      </c>
      <c r="AS19" s="7"/>
      <c r="AT19" s="7"/>
      <c r="AU19" s="7"/>
      <c r="AV19" s="302"/>
      <c r="AW19" s="302"/>
      <c r="AX19" s="7"/>
      <c r="AY19" s="7" t="s">
        <v>103</v>
      </c>
      <c r="AZ19" s="7" t="s">
        <v>1379</v>
      </c>
      <c r="BA19" s="129">
        <f>AVERAGE(AP19:AP20)+90-360</f>
        <v>40.5</v>
      </c>
      <c r="BB19" s="129">
        <f>90-AVERAGE(AQ19:AQ20)</f>
        <v>8.5</v>
      </c>
      <c r="BC19" s="7">
        <v>283.39999999999998</v>
      </c>
      <c r="BD19" s="7" t="s">
        <v>1481</v>
      </c>
      <c r="BE19" s="7" t="s">
        <v>1500</v>
      </c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</row>
    <row r="20" spans="1:106" s="283" customFormat="1">
      <c r="A20" s="278" t="s">
        <v>1367</v>
      </c>
      <c r="B20" s="290" t="str">
        <f>[2]AMS_raw!A92</f>
        <v>BB8_3</v>
      </c>
      <c r="C20" s="318"/>
      <c r="D20" s="289"/>
      <c r="E20" s="290"/>
      <c r="F20" s="290"/>
      <c r="G20" s="290"/>
      <c r="H20" s="247">
        <v>139</v>
      </c>
      <c r="I20" s="247">
        <v>70</v>
      </c>
      <c r="J20" s="250"/>
      <c r="K20" s="279">
        <f>[2]AMS_raw!G92</f>
        <v>420</v>
      </c>
      <c r="L20" s="256">
        <f>[2]AMS_raw!H92</f>
        <v>0.03</v>
      </c>
      <c r="M20" s="247">
        <f>[2]AMS_raw!M92</f>
        <v>1.0347999999999999</v>
      </c>
      <c r="N20" s="247">
        <f>[2]AMS_raw!N92</f>
        <v>0.9899</v>
      </c>
      <c r="O20" s="247">
        <f>[2]AMS_raw!O92</f>
        <v>0.97519999999999996</v>
      </c>
      <c r="P20" s="255"/>
      <c r="Q20" s="256"/>
      <c r="R20" s="256"/>
      <c r="S20" s="280">
        <f>[2]AMS_raw!S92</f>
        <v>1.21</v>
      </c>
      <c r="T20" s="280">
        <f>[2]AMS_raw!T92</f>
        <v>0.97099999999999997</v>
      </c>
      <c r="U20" s="281">
        <f>[2]AMS_raw!U92</f>
        <v>-0.496</v>
      </c>
      <c r="V20" s="256">
        <f t="shared" si="1"/>
        <v>5.7595670660997289</v>
      </c>
      <c r="W20" s="247">
        <f>[2]AMS_raw!V92</f>
        <v>-0.50700000000000001</v>
      </c>
      <c r="X20" s="247">
        <f>[2]AMS_raw!AM92</f>
        <v>210</v>
      </c>
      <c r="Y20" s="247">
        <f>[2]AMS_raw!AN92</f>
        <v>55</v>
      </c>
      <c r="Z20" s="282"/>
      <c r="AA20" s="282"/>
      <c r="AB20" s="282"/>
      <c r="AC20" s="247">
        <f>[2]AMS_raw!AQ92</f>
        <v>92</v>
      </c>
      <c r="AD20" s="247">
        <f>[2]AMS_raw!AR92</f>
        <v>18</v>
      </c>
      <c r="AE20" s="261"/>
      <c r="AF20" s="247">
        <f>[2]AMS_raw!AD92</f>
        <v>20</v>
      </c>
      <c r="AG20" s="247">
        <f>[2]AMS_raw!AE92</f>
        <v>1</v>
      </c>
      <c r="AH20" s="247">
        <f>[2]AMS_raw!AG92</f>
        <v>110</v>
      </c>
      <c r="AI20" s="247">
        <f>[2]AMS_raw!AH92</f>
        <v>3</v>
      </c>
      <c r="AJ20" s="247">
        <f>[2]AMS_raw!AJ92</f>
        <v>274</v>
      </c>
      <c r="AK20" s="247">
        <f>[2]AMS_raw!AK92</f>
        <v>87</v>
      </c>
      <c r="AL20" s="302"/>
      <c r="AM20" s="262">
        <f t="shared" si="2"/>
        <v>20</v>
      </c>
      <c r="AN20">
        <f t="shared" si="3"/>
        <v>1</v>
      </c>
      <c r="AO20" s="283" t="s">
        <v>1368</v>
      </c>
      <c r="AP20" s="262">
        <f t="shared" si="4"/>
        <v>274</v>
      </c>
      <c r="AQ20">
        <f t="shared" si="5"/>
        <v>87</v>
      </c>
      <c r="AR20" s="7" t="s">
        <v>1372</v>
      </c>
      <c r="AS20" s="7"/>
      <c r="AT20" s="7"/>
      <c r="AU20" s="7"/>
      <c r="AV20" s="302"/>
      <c r="AW20" s="302"/>
      <c r="AX20" s="7"/>
      <c r="AY20" s="7" t="s">
        <v>103</v>
      </c>
      <c r="AZ20" s="7" t="s">
        <v>1379</v>
      </c>
      <c r="BA20" s="66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</row>
    <row r="21" spans="1:106" s="283" customFormat="1">
      <c r="A21" s="319" t="s">
        <v>1057</v>
      </c>
      <c r="B21" s="290" t="str">
        <f>[2]AMS_raw!A93</f>
        <v>BB9_2</v>
      </c>
      <c r="C21" s="318"/>
      <c r="D21" s="289"/>
      <c r="E21" s="290"/>
      <c r="F21" s="290"/>
      <c r="G21" s="290"/>
      <c r="H21" s="247">
        <v>273</v>
      </c>
      <c r="I21" s="247">
        <v>24</v>
      </c>
      <c r="J21" s="250"/>
      <c r="K21" s="284">
        <f>[2]AMS_raw!G93</f>
        <v>189.1</v>
      </c>
      <c r="L21" s="256">
        <f>[2]AMS_raw!H93</f>
        <v>0.13300000000000001</v>
      </c>
      <c r="M21" s="247">
        <f>[2]AMS_raw!M93</f>
        <v>1.0346</v>
      </c>
      <c r="N21" s="247">
        <f>[2]AMS_raw!N93</f>
        <v>0.99709999999999999</v>
      </c>
      <c r="O21" s="247">
        <f>[2]AMS_raw!O93</f>
        <v>0.96830000000000005</v>
      </c>
      <c r="P21" s="255"/>
      <c r="Q21" s="256"/>
      <c r="R21" s="256"/>
      <c r="S21" s="280">
        <f>[2]AMS_raw!S93</f>
        <v>0.78800000000000003</v>
      </c>
      <c r="T21" s="280">
        <f>[2]AMS_raw!T93</f>
        <v>0.99199999999999999</v>
      </c>
      <c r="U21" s="281">
        <f>[2]AMS_raw!U93</f>
        <v>-0.115</v>
      </c>
      <c r="V21" s="256">
        <f t="shared" si="1"/>
        <v>6.4082737289773748</v>
      </c>
      <c r="W21" s="247">
        <f>[2]AMS_raw!V93</f>
        <v>-0.13100000000000001</v>
      </c>
      <c r="X21" s="247">
        <f>[2]AMS_raw!AM93</f>
        <v>235</v>
      </c>
      <c r="Y21" s="247">
        <f>[2]AMS_raw!AN93</f>
        <v>26</v>
      </c>
      <c r="Z21" s="282"/>
      <c r="AA21" s="282"/>
      <c r="AB21" s="282"/>
      <c r="AC21" s="247">
        <f>[2]AMS_raw!AQ93</f>
        <v>133</v>
      </c>
      <c r="AD21" s="247">
        <f>[2]AMS_raw!AR93</f>
        <v>25</v>
      </c>
      <c r="AE21" s="261"/>
      <c r="AF21" s="247">
        <f>[2]AMS_raw!AD93</f>
        <v>152</v>
      </c>
      <c r="AG21" s="247">
        <f>[2]AMS_raw!AE93</f>
        <v>5</v>
      </c>
      <c r="AH21" s="247">
        <f>[2]AMS_raw!AG93</f>
        <v>248</v>
      </c>
      <c r="AI21" s="247">
        <f>[2]AMS_raw!AH93</f>
        <v>49</v>
      </c>
      <c r="AJ21" s="247">
        <f>[2]AMS_raw!AJ93</f>
        <v>58</v>
      </c>
      <c r="AK21" s="247">
        <f>[2]AMS_raw!AK93</f>
        <v>41</v>
      </c>
      <c r="AL21" s="302"/>
      <c r="AM21" s="262">
        <f t="shared" si="2"/>
        <v>152</v>
      </c>
      <c r="AN21">
        <f t="shared" si="3"/>
        <v>5</v>
      </c>
      <c r="AO21" t="s">
        <v>1343</v>
      </c>
      <c r="AP21" s="262">
        <f t="shared" si="4"/>
        <v>58</v>
      </c>
      <c r="AQ21">
        <f t="shared" si="5"/>
        <v>41</v>
      </c>
      <c r="AR21" t="s">
        <v>1356</v>
      </c>
      <c r="AS21" s="7"/>
      <c r="AT21" s="7"/>
      <c r="AU21" s="7"/>
      <c r="AV21" s="302"/>
      <c r="AW21" s="302"/>
      <c r="AX21" s="7"/>
      <c r="AY21" s="7" t="s">
        <v>1340</v>
      </c>
      <c r="AZ21" s="7" t="s">
        <v>1381</v>
      </c>
      <c r="BA21" s="129">
        <f>AVERAGE(AP22:AP23)+90-360</f>
        <v>36</v>
      </c>
      <c r="BB21" s="129">
        <f>90-AVERAGE(AQ22:AQ23)</f>
        <v>28.5</v>
      </c>
      <c r="BC21" s="7">
        <v>259.39999999999998</v>
      </c>
      <c r="BD21" s="7" t="s">
        <v>1482</v>
      </c>
      <c r="BE21" s="7" t="s">
        <v>1500</v>
      </c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</row>
    <row r="22" spans="1:106" s="283" customFormat="1">
      <c r="A22" s="319" t="s">
        <v>1057</v>
      </c>
      <c r="B22" s="290" t="str">
        <f>[2]AMS_raw!A94</f>
        <v>BB9_3</v>
      </c>
      <c r="C22" s="318"/>
      <c r="D22" s="289"/>
      <c r="E22" s="290"/>
      <c r="F22" s="290"/>
      <c r="G22" s="290"/>
      <c r="H22" s="247">
        <v>273</v>
      </c>
      <c r="I22" s="247">
        <v>24</v>
      </c>
      <c r="J22" s="250"/>
      <c r="K22" s="284">
        <f>[2]AMS_raw!G94</f>
        <v>181.8</v>
      </c>
      <c r="L22" s="256">
        <f>[2]AMS_raw!H94</f>
        <v>0.126</v>
      </c>
      <c r="M22" s="247">
        <f>[2]AMS_raw!M94</f>
        <v>1.0241</v>
      </c>
      <c r="N22" s="247">
        <f>[2]AMS_raw!N94</f>
        <v>0.98919999999999997</v>
      </c>
      <c r="O22" s="247">
        <f>[2]AMS_raw!O94</f>
        <v>0.98660000000000003</v>
      </c>
      <c r="P22" s="255"/>
      <c r="Q22" s="256"/>
      <c r="R22" s="256"/>
      <c r="S22" s="280">
        <f>[2]AMS_raw!S94</f>
        <v>1.738</v>
      </c>
      <c r="T22" s="280">
        <f>[2]AMS_raw!T94</f>
        <v>0.96899999999999997</v>
      </c>
      <c r="U22" s="281">
        <f>[2]AMS_raw!U94</f>
        <v>-0.85699999999999998</v>
      </c>
      <c r="V22" s="256">
        <f t="shared" si="1"/>
        <v>3.6617517820525318</v>
      </c>
      <c r="W22" s="247">
        <f>[2]AMS_raw!V94</f>
        <v>-0.86</v>
      </c>
      <c r="X22" s="247">
        <f>[2]AMS_raw!AM94</f>
        <v>274</v>
      </c>
      <c r="Y22" s="247">
        <f>[2]AMS_raw!AN94</f>
        <v>39</v>
      </c>
      <c r="Z22" s="282"/>
      <c r="AA22" s="282"/>
      <c r="AB22" s="282"/>
      <c r="AC22" s="247">
        <f>[2]AMS_raw!AQ94</f>
        <v>46</v>
      </c>
      <c r="AD22" s="247">
        <f>[2]AMS_raw!AR94</f>
        <v>39</v>
      </c>
      <c r="AE22" s="261"/>
      <c r="AF22" s="247">
        <f>[2]AMS_raw!AD94</f>
        <v>187</v>
      </c>
      <c r="AG22" s="247">
        <f>[2]AMS_raw!AE94</f>
        <v>15</v>
      </c>
      <c r="AH22" s="247">
        <f>[2]AMS_raw!AG94</f>
        <v>87</v>
      </c>
      <c r="AI22" s="247">
        <f>[2]AMS_raw!AH94</f>
        <v>32</v>
      </c>
      <c r="AJ22" s="247">
        <f>[2]AMS_raw!AJ94</f>
        <v>298</v>
      </c>
      <c r="AK22" s="247">
        <f>[2]AMS_raw!AK94</f>
        <v>54</v>
      </c>
      <c r="AL22" s="302"/>
      <c r="AM22" s="262">
        <f t="shared" si="2"/>
        <v>187</v>
      </c>
      <c r="AN22">
        <f t="shared" si="3"/>
        <v>15</v>
      </c>
      <c r="AO22" t="s">
        <v>1343</v>
      </c>
      <c r="AP22" s="262">
        <f t="shared" si="4"/>
        <v>298</v>
      </c>
      <c r="AQ22">
        <f t="shared" si="5"/>
        <v>54</v>
      </c>
      <c r="AR22" t="s">
        <v>1356</v>
      </c>
      <c r="AS22" s="7"/>
      <c r="AT22" s="7"/>
      <c r="AU22" s="7"/>
      <c r="AV22" s="302"/>
      <c r="AW22" s="302"/>
      <c r="AX22" s="7"/>
      <c r="AY22" s="7" t="s">
        <v>103</v>
      </c>
      <c r="AZ22" s="7" t="s">
        <v>1382</v>
      </c>
      <c r="BA22" s="66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</row>
    <row r="23" spans="1:106" s="283" customFormat="1">
      <c r="A23" s="319" t="s">
        <v>1057</v>
      </c>
      <c r="B23" s="290" t="str">
        <f>[2]AMS_raw!A95</f>
        <v>BB9_4</v>
      </c>
      <c r="C23" s="318"/>
      <c r="D23" s="289"/>
      <c r="E23" s="290"/>
      <c r="F23" s="290"/>
      <c r="G23" s="290"/>
      <c r="H23" s="247">
        <v>273</v>
      </c>
      <c r="I23" s="247">
        <v>24</v>
      </c>
      <c r="J23" s="250"/>
      <c r="K23" s="284">
        <f>[2]AMS_raw!G95</f>
        <v>171.4</v>
      </c>
      <c r="L23" s="256">
        <f>[2]AMS_raw!H95</f>
        <v>0.13300000000000001</v>
      </c>
      <c r="M23" s="247">
        <f>[2]AMS_raw!M95</f>
        <v>1.0232000000000001</v>
      </c>
      <c r="N23" s="247">
        <f>[2]AMS_raw!N95</f>
        <v>0.98880000000000001</v>
      </c>
      <c r="O23" s="247">
        <f>[2]AMS_raw!O95</f>
        <v>0.98799999999999999</v>
      </c>
      <c r="P23" s="255"/>
      <c r="Q23" s="256"/>
      <c r="R23" s="256"/>
      <c r="S23" s="280">
        <f>[2]AMS_raw!S95</f>
        <v>1.9139999999999999</v>
      </c>
      <c r="T23" s="280">
        <f>[2]AMS_raw!T95</f>
        <v>0.96699999999999997</v>
      </c>
      <c r="U23" s="281">
        <f>[2]AMS_raw!U95</f>
        <v>-0.95499999999999996</v>
      </c>
      <c r="V23" s="256">
        <f t="shared" si="1"/>
        <v>3.440187646598917</v>
      </c>
      <c r="W23" s="247">
        <f>[2]AMS_raw!V95</f>
        <v>-0.95599999999999996</v>
      </c>
      <c r="X23" s="247">
        <f>[2]AMS_raw!AM95</f>
        <v>276</v>
      </c>
      <c r="Y23" s="247">
        <f>[2]AMS_raw!AN95</f>
        <v>36</v>
      </c>
      <c r="Z23" s="282"/>
      <c r="AA23" s="282"/>
      <c r="AB23" s="282"/>
      <c r="AC23" s="247">
        <f>[2]AMS_raw!AQ95</f>
        <v>65</v>
      </c>
      <c r="AD23" s="247">
        <f>[2]AMS_raw!AR95</f>
        <v>49</v>
      </c>
      <c r="AE23" s="261"/>
      <c r="AF23" s="247">
        <f>[2]AMS_raw!AD95</f>
        <v>188</v>
      </c>
      <c r="AG23" s="247">
        <f>[2]AMS_raw!AE95</f>
        <v>13</v>
      </c>
      <c r="AH23" s="247">
        <f>[2]AMS_raw!AG95</f>
        <v>95</v>
      </c>
      <c r="AI23" s="247">
        <f>[2]AMS_raw!AH95</f>
        <v>17</v>
      </c>
      <c r="AJ23" s="247">
        <f>[2]AMS_raw!AJ95</f>
        <v>314</v>
      </c>
      <c r="AK23" s="247">
        <f>[2]AMS_raw!AK95</f>
        <v>69</v>
      </c>
      <c r="AL23" s="302"/>
      <c r="AM23" s="262">
        <f t="shared" si="2"/>
        <v>188</v>
      </c>
      <c r="AN23">
        <f t="shared" si="3"/>
        <v>13</v>
      </c>
      <c r="AO23" t="s">
        <v>1343</v>
      </c>
      <c r="AP23" s="262">
        <f t="shared" si="4"/>
        <v>314</v>
      </c>
      <c r="AQ23">
        <f t="shared" si="5"/>
        <v>69</v>
      </c>
      <c r="AR23" t="s">
        <v>1356</v>
      </c>
      <c r="AS23" s="7"/>
      <c r="AT23" s="7"/>
      <c r="AU23" s="7"/>
      <c r="AV23" s="302"/>
      <c r="AW23" s="302"/>
      <c r="AX23" s="7"/>
      <c r="AY23" s="7" t="s">
        <v>103</v>
      </c>
      <c r="AZ23" s="7" t="s">
        <v>1382</v>
      </c>
      <c r="BA23" s="66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</row>
    <row r="24" spans="1:106" s="283" customFormat="1">
      <c r="A24" s="319" t="s">
        <v>1057</v>
      </c>
      <c r="B24" s="290" t="str">
        <f>[2]AMS_raw!A3</f>
        <v>BB10_2</v>
      </c>
      <c r="C24" s="318"/>
      <c r="D24" s="289"/>
      <c r="E24" s="290"/>
      <c r="F24" s="290"/>
      <c r="G24" s="290"/>
      <c r="H24" s="247">
        <v>311</v>
      </c>
      <c r="I24" s="247">
        <v>59</v>
      </c>
      <c r="J24" s="250"/>
      <c r="K24" s="284">
        <f>[2]AMS_raw!G3</f>
        <v>288.8</v>
      </c>
      <c r="L24" s="256">
        <f>[2]AMS_raw!H3</f>
        <v>8.3000000000000004E-2</v>
      </c>
      <c r="M24" s="247">
        <f>[2]AMS_raw!M3</f>
        <v>1.0299</v>
      </c>
      <c r="N24" s="247">
        <f>[2]AMS_raw!N3</f>
        <v>0.99909999999999999</v>
      </c>
      <c r="O24" s="247">
        <f>[2]AMS_raw!O3</f>
        <v>0.97099999999999997</v>
      </c>
      <c r="P24" s="255"/>
      <c r="Q24" s="256"/>
      <c r="R24" s="256"/>
      <c r="S24" s="280">
        <f>[2]AMS_raw!S3</f>
        <v>0.70899999999999996</v>
      </c>
      <c r="T24" s="280">
        <f>[2]AMS_raw!T3</f>
        <v>0.998</v>
      </c>
      <c r="U24" s="281">
        <f>[2]AMS_raw!U3</f>
        <v>-3.2000000000000001E-2</v>
      </c>
      <c r="V24" s="256">
        <f t="shared" si="1"/>
        <v>5.7190018448393101</v>
      </c>
      <c r="W24" s="247">
        <f>[2]AMS_raw!V3</f>
        <v>-4.5999999999999999E-2</v>
      </c>
      <c r="X24" s="247">
        <f>[2]AMS_raw!AM3</f>
        <v>168</v>
      </c>
      <c r="Y24" s="247">
        <f>[2]AMS_raw!AN3</f>
        <v>65</v>
      </c>
      <c r="Z24" s="282"/>
      <c r="AA24" s="282"/>
      <c r="AB24" s="282"/>
      <c r="AC24" s="247">
        <f>[2]AMS_raw!AQ3</f>
        <v>351</v>
      </c>
      <c r="AD24" s="247">
        <f>[2]AMS_raw!AR3</f>
        <v>25</v>
      </c>
      <c r="AE24" s="261"/>
      <c r="AF24" s="247">
        <f>[2]AMS_raw!AD3</f>
        <v>192</v>
      </c>
      <c r="AG24" s="247">
        <f>[2]AMS_raw!AE3</f>
        <v>33</v>
      </c>
      <c r="AH24" s="247">
        <f>[2]AMS_raw!AG3</f>
        <v>24</v>
      </c>
      <c r="AI24" s="247">
        <f>[2]AMS_raw!AH3</f>
        <v>57</v>
      </c>
      <c r="AJ24" s="247">
        <f>[2]AMS_raw!AJ3</f>
        <v>285</v>
      </c>
      <c r="AK24" s="247">
        <f>[2]AMS_raw!AK3</f>
        <v>6</v>
      </c>
      <c r="AL24" s="302"/>
      <c r="AM24" s="262">
        <f t="shared" si="2"/>
        <v>192</v>
      </c>
      <c r="AN24">
        <f t="shared" si="3"/>
        <v>33</v>
      </c>
      <c r="AO24" s="283" t="s">
        <v>1368</v>
      </c>
      <c r="AP24" s="262">
        <f t="shared" si="4"/>
        <v>285</v>
      </c>
      <c r="AQ24">
        <f t="shared" si="5"/>
        <v>6</v>
      </c>
      <c r="AR24" s="7" t="s">
        <v>1372</v>
      </c>
      <c r="AS24" s="7"/>
      <c r="AT24" s="7"/>
      <c r="AU24" s="7"/>
      <c r="AV24" s="302"/>
      <c r="AW24" s="302"/>
      <c r="AX24" s="7"/>
      <c r="AY24" s="7" t="s">
        <v>1377</v>
      </c>
      <c r="AZ24" s="7" t="s">
        <v>1383</v>
      </c>
      <c r="BA24" s="129">
        <f>AVERAGE(AP24:AP26)+90-360</f>
        <v>16</v>
      </c>
      <c r="BB24" s="129">
        <f>90-AVERAGE(AQ24:AQ26)</f>
        <v>84.666666666666671</v>
      </c>
      <c r="BC24" s="7">
        <v>259.39999999999998</v>
      </c>
      <c r="BD24" s="7" t="s">
        <v>1482</v>
      </c>
      <c r="BE24" s="7" t="s">
        <v>1500</v>
      </c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</row>
    <row r="25" spans="1:106" s="283" customFormat="1">
      <c r="A25" s="319" t="s">
        <v>1057</v>
      </c>
      <c r="B25" s="290" t="str">
        <f>[2]AMS_raw!A4</f>
        <v>BB10_3</v>
      </c>
      <c r="C25" s="318"/>
      <c r="D25" s="289"/>
      <c r="E25" s="290"/>
      <c r="F25" s="290"/>
      <c r="G25" s="290"/>
      <c r="H25" s="247">
        <v>311</v>
      </c>
      <c r="I25" s="247">
        <v>59</v>
      </c>
      <c r="J25" s="250"/>
      <c r="K25" s="279">
        <f>[2]AMS_raw!G4</f>
        <v>302</v>
      </c>
      <c r="L25" s="256">
        <f>[2]AMS_raw!H4</f>
        <v>7.1999999999999995E-2</v>
      </c>
      <c r="M25" s="247">
        <f>[2]AMS_raw!M4</f>
        <v>1.0284</v>
      </c>
      <c r="N25" s="247">
        <f>[2]AMS_raw!N4</f>
        <v>0.99880000000000002</v>
      </c>
      <c r="O25" s="247">
        <f>[2]AMS_raw!O4</f>
        <v>0.97270000000000001</v>
      </c>
      <c r="P25" s="255"/>
      <c r="Q25" s="256"/>
      <c r="R25" s="256"/>
      <c r="S25" s="280">
        <f>[2]AMS_raw!S4</f>
        <v>0.72499999999999998</v>
      </c>
      <c r="T25" s="280">
        <f>[2]AMS_raw!T4</f>
        <v>0.997</v>
      </c>
      <c r="U25" s="281">
        <f>[2]AMS_raw!U4</f>
        <v>-0.05</v>
      </c>
      <c r="V25" s="256">
        <f t="shared" si="1"/>
        <v>5.4161804745235287</v>
      </c>
      <c r="W25" s="247">
        <f>[2]AMS_raw!V4</f>
        <v>-6.4000000000000001E-2</v>
      </c>
      <c r="X25" s="247">
        <f>[2]AMS_raw!AM4</f>
        <v>174</v>
      </c>
      <c r="Y25" s="247">
        <f>[2]AMS_raw!AN4</f>
        <v>66</v>
      </c>
      <c r="Z25" s="282"/>
      <c r="AA25" s="282"/>
      <c r="AB25" s="282"/>
      <c r="AC25" s="247">
        <f>[2]AMS_raw!AQ4</f>
        <v>351</v>
      </c>
      <c r="AD25" s="247">
        <f>[2]AMS_raw!AR4</f>
        <v>24</v>
      </c>
      <c r="AE25" s="261"/>
      <c r="AF25" s="247">
        <f>[2]AMS_raw!AD4</f>
        <v>193</v>
      </c>
      <c r="AG25" s="247">
        <f>[2]AMS_raw!AE4</f>
        <v>31</v>
      </c>
      <c r="AH25" s="247">
        <f>[2]AMS_raw!AG4</f>
        <v>25</v>
      </c>
      <c r="AI25" s="247">
        <f>[2]AMS_raw!AH4</f>
        <v>59</v>
      </c>
      <c r="AJ25" s="247">
        <f>[2]AMS_raw!AJ4</f>
        <v>286</v>
      </c>
      <c r="AK25" s="247">
        <f>[2]AMS_raw!AK4</f>
        <v>5</v>
      </c>
      <c r="AL25" s="302"/>
      <c r="AM25" s="262">
        <f t="shared" si="2"/>
        <v>193</v>
      </c>
      <c r="AN25">
        <f t="shared" si="3"/>
        <v>31</v>
      </c>
      <c r="AO25" s="283" t="s">
        <v>1368</v>
      </c>
      <c r="AP25" s="262">
        <f t="shared" si="4"/>
        <v>286</v>
      </c>
      <c r="AQ25">
        <f t="shared" si="5"/>
        <v>5</v>
      </c>
      <c r="AR25" s="7" t="s">
        <v>1372</v>
      </c>
      <c r="AS25" s="7"/>
      <c r="AT25" s="7"/>
      <c r="AU25" s="7"/>
      <c r="AV25" s="302"/>
      <c r="AW25" s="302"/>
      <c r="AX25" s="7"/>
      <c r="AY25" s="7" t="s">
        <v>1377</v>
      </c>
      <c r="AZ25" s="7" t="s">
        <v>1383</v>
      </c>
      <c r="BA25" s="66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</row>
    <row r="26" spans="1:106" s="283" customFormat="1">
      <c r="A26" s="319" t="s">
        <v>1057</v>
      </c>
      <c r="B26" s="290" t="str">
        <f>[2]AMS_raw!A5</f>
        <v>BB10_4</v>
      </c>
      <c r="C26" s="318"/>
      <c r="D26" s="289"/>
      <c r="E26" s="290"/>
      <c r="F26" s="290"/>
      <c r="G26" s="290"/>
      <c r="H26" s="247">
        <v>311</v>
      </c>
      <c r="I26" s="247">
        <v>59</v>
      </c>
      <c r="J26" s="250"/>
      <c r="K26" s="279">
        <f>[2]AMS_raw!G5</f>
        <v>319.2</v>
      </c>
      <c r="L26" s="256">
        <f>[2]AMS_raw!H5</f>
        <v>0.09</v>
      </c>
      <c r="M26" s="247">
        <f>[2]AMS_raw!M5</f>
        <v>1.0293000000000001</v>
      </c>
      <c r="N26" s="247">
        <f>[2]AMS_raw!N5</f>
        <v>0.99839999999999995</v>
      </c>
      <c r="O26" s="247">
        <f>[2]AMS_raw!O5</f>
        <v>0.97230000000000005</v>
      </c>
      <c r="P26" s="255"/>
      <c r="Q26" s="256"/>
      <c r="R26" s="256"/>
      <c r="S26" s="280">
        <f>[2]AMS_raw!S5</f>
        <v>0.74399999999999999</v>
      </c>
      <c r="T26" s="280">
        <f>[2]AMS_raw!T5</f>
        <v>0.996</v>
      </c>
      <c r="U26" s="281">
        <f>[2]AMS_raw!U5</f>
        <v>-7.0000000000000007E-2</v>
      </c>
      <c r="V26" s="256">
        <f t="shared" si="1"/>
        <v>5.537744097930636</v>
      </c>
      <c r="W26" s="247">
        <f>[2]AMS_raw!V5</f>
        <v>-8.5000000000000006E-2</v>
      </c>
      <c r="X26" s="247">
        <f>[2]AMS_raw!AM5</f>
        <v>165</v>
      </c>
      <c r="Y26" s="247">
        <f>[2]AMS_raw!AN5</f>
        <v>66</v>
      </c>
      <c r="Z26" s="282"/>
      <c r="AA26" s="282"/>
      <c r="AB26" s="282"/>
      <c r="AC26" s="247">
        <f>[2]AMS_raw!AQ5</f>
        <v>352</v>
      </c>
      <c r="AD26" s="247">
        <f>[2]AMS_raw!AR5</f>
        <v>24</v>
      </c>
      <c r="AE26" s="261"/>
      <c r="AF26" s="247">
        <f>[2]AMS_raw!AD5</f>
        <v>193</v>
      </c>
      <c r="AG26" s="247">
        <f>[2]AMS_raw!AE5</f>
        <v>34</v>
      </c>
      <c r="AH26" s="247">
        <f>[2]AMS_raw!AG5</f>
        <v>25</v>
      </c>
      <c r="AI26" s="247">
        <f>[2]AMS_raw!AH5</f>
        <v>55</v>
      </c>
      <c r="AJ26" s="247">
        <f>[2]AMS_raw!AJ5</f>
        <v>287</v>
      </c>
      <c r="AK26" s="247">
        <f>[2]AMS_raw!AK5</f>
        <v>5</v>
      </c>
      <c r="AL26" s="302"/>
      <c r="AM26" s="262">
        <f t="shared" si="2"/>
        <v>193</v>
      </c>
      <c r="AN26">
        <f t="shared" si="3"/>
        <v>34</v>
      </c>
      <c r="AO26" s="283" t="s">
        <v>1368</v>
      </c>
      <c r="AP26" s="262">
        <f t="shared" si="4"/>
        <v>287</v>
      </c>
      <c r="AQ26">
        <f t="shared" si="5"/>
        <v>5</v>
      </c>
      <c r="AR26" s="7" t="s">
        <v>1372</v>
      </c>
      <c r="AS26" s="7"/>
      <c r="AT26" s="7"/>
      <c r="AU26" s="7"/>
      <c r="AV26" s="302"/>
      <c r="AW26" s="302"/>
      <c r="AX26" s="7"/>
      <c r="AY26" s="7" t="s">
        <v>1377</v>
      </c>
      <c r="AZ26" s="7" t="s">
        <v>1383</v>
      </c>
      <c r="BA26" s="66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</row>
    <row r="27" spans="1:106" s="283" customFormat="1">
      <c r="A27" s="319" t="s">
        <v>1057</v>
      </c>
      <c r="B27" s="290" t="str">
        <f>[2]AMS_raw!A6</f>
        <v>BB11_2</v>
      </c>
      <c r="C27" s="318"/>
      <c r="D27" s="289"/>
      <c r="E27" s="290"/>
      <c r="F27" s="290"/>
      <c r="G27" s="290"/>
      <c r="H27" s="247">
        <v>193</v>
      </c>
      <c r="I27" s="247">
        <v>76</v>
      </c>
      <c r="J27" s="250"/>
      <c r="K27" s="279">
        <f>[2]AMS_raw!G6</f>
        <v>335.1</v>
      </c>
      <c r="L27" s="256">
        <f>[2]AMS_raw!H6</f>
        <v>0.19600000000000001</v>
      </c>
      <c r="M27" s="247">
        <f>[2]AMS_raw!M6</f>
        <v>1.0167999999999999</v>
      </c>
      <c r="N27" s="247">
        <f>[2]AMS_raw!N6</f>
        <v>0.99819999999999998</v>
      </c>
      <c r="O27" s="247">
        <f>[2]AMS_raw!O6</f>
        <v>0.98499999999999999</v>
      </c>
      <c r="P27" s="255"/>
      <c r="Q27" s="256"/>
      <c r="R27" s="256"/>
      <c r="S27" s="280">
        <f>[2]AMS_raw!S6</f>
        <v>0.82899999999999996</v>
      </c>
      <c r="T27" s="280">
        <f>[2]AMS_raw!T6</f>
        <v>0.995</v>
      </c>
      <c r="U27" s="281">
        <f>[2]AMS_raw!U6</f>
        <v>-0.16400000000000001</v>
      </c>
      <c r="V27" s="256">
        <f t="shared" si="1"/>
        <v>3.1274586939417723</v>
      </c>
      <c r="W27" s="247">
        <f>[2]AMS_raw!V6</f>
        <v>-0.17199999999999999</v>
      </c>
      <c r="X27" s="247">
        <f>[2]AMS_raw!AM6</f>
        <v>144</v>
      </c>
      <c r="Y27" s="247">
        <f>[2]AMS_raw!AN6</f>
        <v>11</v>
      </c>
      <c r="Z27" s="282"/>
      <c r="AA27" s="282"/>
      <c r="AB27" s="282"/>
      <c r="AC27" s="247">
        <f>[2]AMS_raw!AQ6</f>
        <v>251</v>
      </c>
      <c r="AD27" s="247">
        <f>[2]AMS_raw!AR6</f>
        <v>55</v>
      </c>
      <c r="AE27" s="261"/>
      <c r="AF27" s="247">
        <f>[2]AMS_raw!AD6</f>
        <v>17</v>
      </c>
      <c r="AG27" s="247">
        <f>[2]AMS_raw!AE6</f>
        <v>37</v>
      </c>
      <c r="AH27" s="247">
        <f>[2]AMS_raw!AG6</f>
        <v>160</v>
      </c>
      <c r="AI27" s="247">
        <f>[2]AMS_raw!AH6</f>
        <v>47</v>
      </c>
      <c r="AJ27" s="247">
        <f>[2]AMS_raw!AJ6</f>
        <v>272</v>
      </c>
      <c r="AK27" s="247">
        <f>[2]AMS_raw!AK6</f>
        <v>19</v>
      </c>
      <c r="AL27" s="302"/>
      <c r="AM27" s="262">
        <f t="shared" si="2"/>
        <v>17</v>
      </c>
      <c r="AN27">
        <f t="shared" si="3"/>
        <v>37</v>
      </c>
      <c r="AO27" t="s">
        <v>1343</v>
      </c>
      <c r="AP27" s="262">
        <f t="shared" si="4"/>
        <v>272</v>
      </c>
      <c r="AQ27">
        <f t="shared" si="5"/>
        <v>19</v>
      </c>
      <c r="AR27" t="s">
        <v>1356</v>
      </c>
      <c r="AS27" s="7"/>
      <c r="AT27" s="7"/>
      <c r="AU27" s="7"/>
      <c r="AV27" s="302"/>
      <c r="AW27" s="302"/>
      <c r="AX27" s="7"/>
      <c r="AY27" s="7" t="s">
        <v>103</v>
      </c>
      <c r="AZ27" s="7" t="s">
        <v>1384</v>
      </c>
      <c r="BA27" s="129">
        <f>AVERAGE(AP27:AP29)+90-360</f>
        <v>4.3333333333333144</v>
      </c>
      <c r="BB27" s="129">
        <f>90-AVERAGE(AQ27:AQ29)</f>
        <v>77.666666666666671</v>
      </c>
      <c r="BC27" s="7">
        <v>259.39999999999998</v>
      </c>
      <c r="BD27" s="7" t="s">
        <v>1482</v>
      </c>
      <c r="BE27" s="7" t="s">
        <v>1500</v>
      </c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</row>
    <row r="28" spans="1:106" s="283" customFormat="1">
      <c r="A28" s="319" t="s">
        <v>1057</v>
      </c>
      <c r="B28" s="290" t="str">
        <f>[2]AMS_raw!A7</f>
        <v>BB11_3</v>
      </c>
      <c r="C28" s="318"/>
      <c r="D28" s="289"/>
      <c r="E28" s="290"/>
      <c r="F28" s="290"/>
      <c r="G28" s="290"/>
      <c r="H28" s="247">
        <v>193</v>
      </c>
      <c r="I28" s="247">
        <v>76</v>
      </c>
      <c r="J28" s="250"/>
      <c r="K28" s="279">
        <f>[2]AMS_raw!G7</f>
        <v>393.7</v>
      </c>
      <c r="L28" s="256">
        <f>[2]AMS_raw!H7</f>
        <v>6.2E-2</v>
      </c>
      <c r="M28" s="247">
        <f>[2]AMS_raw!M7</f>
        <v>1.0196000000000001</v>
      </c>
      <c r="N28" s="247">
        <f>[2]AMS_raw!N7</f>
        <v>0.995</v>
      </c>
      <c r="O28" s="247">
        <f>[2]AMS_raw!O7</f>
        <v>0.98540000000000005</v>
      </c>
      <c r="P28" s="255"/>
      <c r="Q28" s="256"/>
      <c r="R28" s="256"/>
      <c r="S28" s="280">
        <f>[2]AMS_raw!S7</f>
        <v>1.121</v>
      </c>
      <c r="T28" s="280">
        <f>[2]AMS_raw!T7</f>
        <v>0.98499999999999999</v>
      </c>
      <c r="U28" s="281">
        <f>[2]AMS_raw!U7</f>
        <v>-0.43</v>
      </c>
      <c r="V28" s="256">
        <f t="shared" si="1"/>
        <v>3.3542565712043944</v>
      </c>
      <c r="W28" s="247">
        <f>[2]AMS_raw!V7</f>
        <v>-0.437</v>
      </c>
      <c r="X28" s="247">
        <f>[2]AMS_raw!AM7</f>
        <v>145</v>
      </c>
      <c r="Y28" s="247">
        <f>[2]AMS_raw!AN7</f>
        <v>6</v>
      </c>
      <c r="Z28" s="282"/>
      <c r="AA28" s="282"/>
      <c r="AB28" s="282"/>
      <c r="AC28" s="247">
        <f>[2]AMS_raw!AQ7</f>
        <v>249</v>
      </c>
      <c r="AD28" s="247">
        <f>[2]AMS_raw!AR7</f>
        <v>66</v>
      </c>
      <c r="AE28" s="261"/>
      <c r="AF28" s="247">
        <f>[2]AMS_raw!AD7</f>
        <v>11</v>
      </c>
      <c r="AG28" s="247">
        <f>[2]AMS_raw!AE7</f>
        <v>35</v>
      </c>
      <c r="AH28" s="247">
        <f>[2]AMS_raw!AG7</f>
        <v>174</v>
      </c>
      <c r="AI28" s="247">
        <f>[2]AMS_raw!AH7</f>
        <v>54</v>
      </c>
      <c r="AJ28" s="247">
        <f>[2]AMS_raw!AJ7</f>
        <v>275</v>
      </c>
      <c r="AK28" s="247">
        <f>[2]AMS_raw!AK7</f>
        <v>8</v>
      </c>
      <c r="AL28" s="302"/>
      <c r="AM28" s="262">
        <f t="shared" si="2"/>
        <v>11</v>
      </c>
      <c r="AN28">
        <f t="shared" si="3"/>
        <v>35</v>
      </c>
      <c r="AO28" t="s">
        <v>1343</v>
      </c>
      <c r="AP28" s="262">
        <f t="shared" si="4"/>
        <v>275</v>
      </c>
      <c r="AQ28">
        <f t="shared" si="5"/>
        <v>8</v>
      </c>
      <c r="AR28" t="s">
        <v>1356</v>
      </c>
      <c r="AS28" s="7"/>
      <c r="AT28" s="7"/>
      <c r="AU28" s="7"/>
      <c r="AV28" s="302"/>
      <c r="AW28" s="302"/>
      <c r="AX28" s="7"/>
      <c r="AY28" s="7" t="s">
        <v>103</v>
      </c>
      <c r="AZ28" s="7" t="s">
        <v>1384</v>
      </c>
      <c r="BA28" s="66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</row>
    <row r="29" spans="1:106" s="283" customFormat="1">
      <c r="A29" s="319" t="s">
        <v>1057</v>
      </c>
      <c r="B29" s="290" t="str">
        <f>[2]AMS_raw!A8</f>
        <v>BB11_4</v>
      </c>
      <c r="C29" s="318"/>
      <c r="D29" s="289"/>
      <c r="E29" s="290"/>
      <c r="F29" s="290"/>
      <c r="G29" s="290"/>
      <c r="H29" s="247">
        <v>193</v>
      </c>
      <c r="I29" s="247">
        <v>76</v>
      </c>
      <c r="J29" s="250"/>
      <c r="K29" s="279">
        <f>[2]AMS_raw!G8</f>
        <v>371.4</v>
      </c>
      <c r="L29" s="256">
        <f>[2]AMS_raw!H8</f>
        <v>0.10299999999999999</v>
      </c>
      <c r="M29" s="247">
        <f>[2]AMS_raw!M8</f>
        <v>1.0173000000000001</v>
      </c>
      <c r="N29" s="247">
        <f>[2]AMS_raw!N8</f>
        <v>0.998</v>
      </c>
      <c r="O29" s="247">
        <f>[2]AMS_raw!O8</f>
        <v>0.98480000000000001</v>
      </c>
      <c r="P29" s="255"/>
      <c r="Q29" s="256"/>
      <c r="R29" s="256"/>
      <c r="S29" s="280">
        <f>[2]AMS_raw!S8</f>
        <v>0.84299999999999997</v>
      </c>
      <c r="T29" s="280">
        <f>[2]AMS_raw!T8</f>
        <v>0.99399999999999999</v>
      </c>
      <c r="U29" s="281">
        <f>[2]AMS_raw!U8</f>
        <v>-0.17799999999999999</v>
      </c>
      <c r="V29" s="256">
        <f t="shared" si="1"/>
        <v>3.1947311510862164</v>
      </c>
      <c r="W29" s="247">
        <f>[2]AMS_raw!V8</f>
        <v>-0.186</v>
      </c>
      <c r="X29" s="247">
        <f>[2]AMS_raw!AM8</f>
        <v>145</v>
      </c>
      <c r="Y29" s="247">
        <f>[2]AMS_raw!AN8</f>
        <v>8</v>
      </c>
      <c r="Z29" s="282"/>
      <c r="AA29" s="282"/>
      <c r="AB29" s="282"/>
      <c r="AC29" s="247">
        <f>[2]AMS_raw!AQ8</f>
        <v>254</v>
      </c>
      <c r="AD29" s="247">
        <f>[2]AMS_raw!AR8</f>
        <v>65</v>
      </c>
      <c r="AE29" s="261"/>
      <c r="AF29" s="247">
        <f>[2]AMS_raw!AD8</f>
        <v>14</v>
      </c>
      <c r="AG29" s="247">
        <f>[2]AMS_raw!AE8</f>
        <v>36</v>
      </c>
      <c r="AH29" s="247">
        <f>[2]AMS_raw!AG8</f>
        <v>173</v>
      </c>
      <c r="AI29" s="247">
        <f>[2]AMS_raw!AH8</f>
        <v>52</v>
      </c>
      <c r="AJ29" s="247">
        <f>[2]AMS_raw!AJ8</f>
        <v>276</v>
      </c>
      <c r="AK29" s="247">
        <f>[2]AMS_raw!AK8</f>
        <v>10</v>
      </c>
      <c r="AL29" s="302"/>
      <c r="AM29" s="262">
        <f t="shared" si="2"/>
        <v>14</v>
      </c>
      <c r="AN29">
        <f t="shared" si="3"/>
        <v>36</v>
      </c>
      <c r="AO29" t="s">
        <v>1343</v>
      </c>
      <c r="AP29" s="262">
        <f t="shared" si="4"/>
        <v>276</v>
      </c>
      <c r="AQ29">
        <f t="shared" si="5"/>
        <v>10</v>
      </c>
      <c r="AR29" t="s">
        <v>1356</v>
      </c>
      <c r="AS29" s="7"/>
      <c r="AT29" s="7"/>
      <c r="AU29" s="7"/>
      <c r="AV29" s="302"/>
      <c r="AW29" s="302"/>
      <c r="AX29" s="7"/>
      <c r="AY29" s="7" t="s">
        <v>103</v>
      </c>
      <c r="AZ29" s="7" t="s">
        <v>1384</v>
      </c>
      <c r="BA29" s="66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</row>
    <row r="30" spans="1:106" s="283" customFormat="1">
      <c r="A30" s="319" t="s">
        <v>1057</v>
      </c>
      <c r="B30" s="288" t="s">
        <v>1385</v>
      </c>
      <c r="C30" s="283">
        <v>19.902000000000001</v>
      </c>
      <c r="D30" s="289">
        <v>3</v>
      </c>
      <c r="E30" s="290">
        <v>0</v>
      </c>
      <c r="F30" s="290">
        <v>3</v>
      </c>
      <c r="G30" s="290">
        <v>90</v>
      </c>
      <c r="H30" s="291">
        <v>146.4</v>
      </c>
      <c r="I30" s="292">
        <v>52</v>
      </c>
      <c r="J30" s="250">
        <f t="shared" si="0"/>
        <v>326.39999999999998</v>
      </c>
      <c r="K30" s="248">
        <f>284</f>
        <v>284</v>
      </c>
      <c r="L30" s="293">
        <v>1.2E-2</v>
      </c>
      <c r="M30" s="294">
        <v>1.0147999999999999</v>
      </c>
      <c r="N30" s="295">
        <v>0.99580000000000002</v>
      </c>
      <c r="O30" s="295">
        <v>0.98950000000000005</v>
      </c>
      <c r="P30" s="296">
        <v>1.026</v>
      </c>
      <c r="Q30" s="297">
        <v>1.0189999999999999</v>
      </c>
      <c r="R30" s="297">
        <v>1.006</v>
      </c>
      <c r="S30" s="257">
        <v>1.2050000000000001</v>
      </c>
      <c r="T30" s="257">
        <v>0.98699999999999999</v>
      </c>
      <c r="U30" s="258">
        <v>-0.499</v>
      </c>
      <c r="V30" s="297">
        <f t="shared" si="1"/>
        <v>2.4931020890815807</v>
      </c>
      <c r="W30" s="293">
        <v>-0.504</v>
      </c>
      <c r="X30" s="298">
        <v>248</v>
      </c>
      <c r="Y30" s="298">
        <v>1</v>
      </c>
      <c r="Z30" s="299">
        <v>0.8</v>
      </c>
      <c r="AA30" s="299">
        <v>157</v>
      </c>
      <c r="AB30" s="299">
        <v>25</v>
      </c>
      <c r="AC30" s="298">
        <v>340</v>
      </c>
      <c r="AD30" s="298">
        <v>65</v>
      </c>
      <c r="AE30" s="300">
        <v>0.6</v>
      </c>
      <c r="AF30" s="283">
        <v>23.7</v>
      </c>
      <c r="AG30" s="301">
        <v>-46</v>
      </c>
      <c r="AH30" s="301"/>
      <c r="AI30" s="301"/>
      <c r="AJ30" s="301">
        <v>82.7</v>
      </c>
      <c r="AK30" s="283">
        <v>26.4</v>
      </c>
      <c r="AL30" s="302" t="s">
        <v>1361</v>
      </c>
      <c r="AM30" s="262">
        <f t="shared" si="2"/>
        <v>203.7</v>
      </c>
      <c r="AN30">
        <f t="shared" si="3"/>
        <v>46</v>
      </c>
      <c r="AO30" s="283" t="s">
        <v>1368</v>
      </c>
      <c r="AP30" s="304">
        <f t="shared" si="4"/>
        <v>82.7</v>
      </c>
      <c r="AQ30" s="305">
        <f t="shared" si="5"/>
        <v>26.4</v>
      </c>
      <c r="AR30" s="7" t="s">
        <v>1372</v>
      </c>
      <c r="AS30" s="7">
        <v>262.7</v>
      </c>
      <c r="AT30" s="7">
        <v>26.4</v>
      </c>
      <c r="AU30" s="7"/>
      <c r="AV30" s="302">
        <v>203.7</v>
      </c>
      <c r="AW30" s="302">
        <v>46</v>
      </c>
      <c r="AX30" s="7" t="s">
        <v>1368</v>
      </c>
      <c r="AY30" s="7" t="s">
        <v>103</v>
      </c>
      <c r="AZ30" s="7" t="s">
        <v>397</v>
      </c>
      <c r="BA30" s="129">
        <f>AVERAGE(AP30:AP32)+90</f>
        <v>165.3</v>
      </c>
      <c r="BB30" s="129">
        <f>90-AVERAGE(AQ30:AQ32)</f>
        <v>58.733333333333334</v>
      </c>
      <c r="BC30" s="7">
        <v>283.39999999999998</v>
      </c>
      <c r="BD30" s="7" t="s">
        <v>1483</v>
      </c>
      <c r="BE30" s="7" t="s">
        <v>1500</v>
      </c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</row>
    <row r="31" spans="1:106" s="283" customFormat="1">
      <c r="A31" s="319" t="s">
        <v>1057</v>
      </c>
      <c r="B31" s="288" t="s">
        <v>1386</v>
      </c>
      <c r="C31" s="283">
        <v>21.600999999999999</v>
      </c>
      <c r="D31" s="289">
        <v>3</v>
      </c>
      <c r="E31" s="290">
        <v>0</v>
      </c>
      <c r="F31" s="290">
        <v>3</v>
      </c>
      <c r="G31" s="290">
        <v>90</v>
      </c>
      <c r="H31" s="291">
        <v>146.4</v>
      </c>
      <c r="I31" s="292">
        <v>52</v>
      </c>
      <c r="J31" s="250">
        <f t="shared" si="0"/>
        <v>326.39999999999998</v>
      </c>
      <c r="K31" s="248">
        <f>283.5</f>
        <v>283.5</v>
      </c>
      <c r="L31" s="293">
        <v>1.0999999999999999E-2</v>
      </c>
      <c r="M31" s="294">
        <v>1.0092000000000001</v>
      </c>
      <c r="N31" s="295">
        <v>1</v>
      </c>
      <c r="O31" s="295">
        <v>0.99080000000000001</v>
      </c>
      <c r="P31" s="296">
        <v>1.0189999999999999</v>
      </c>
      <c r="Q31" s="297">
        <v>1.0089999999999999</v>
      </c>
      <c r="R31" s="297">
        <v>1.0089999999999999</v>
      </c>
      <c r="S31" s="257">
        <v>0.66</v>
      </c>
      <c r="T31" s="257">
        <v>1</v>
      </c>
      <c r="U31" s="257">
        <v>1.2E-2</v>
      </c>
      <c r="V31" s="297">
        <f t="shared" si="1"/>
        <v>1.823226317875553</v>
      </c>
      <c r="W31" s="293">
        <v>8.0000000000000002E-3</v>
      </c>
      <c r="X31" s="298">
        <v>258</v>
      </c>
      <c r="Y31" s="298">
        <v>2</v>
      </c>
      <c r="Z31" s="299">
        <v>1.5</v>
      </c>
      <c r="AA31" s="299">
        <v>168</v>
      </c>
      <c r="AB31" s="299">
        <v>6</v>
      </c>
      <c r="AC31" s="298">
        <v>7</v>
      </c>
      <c r="AD31" s="298">
        <v>84</v>
      </c>
      <c r="AE31" s="300">
        <v>0.8</v>
      </c>
      <c r="AF31" s="283">
        <v>38.1</v>
      </c>
      <c r="AG31" s="301">
        <v>-48.5</v>
      </c>
      <c r="AH31" s="301"/>
      <c r="AI31" s="301"/>
      <c r="AJ31" s="301">
        <v>64</v>
      </c>
      <c r="AK31" s="283">
        <v>38.5</v>
      </c>
      <c r="AL31" s="302" t="s">
        <v>1361</v>
      </c>
      <c r="AM31" s="262">
        <f t="shared" si="2"/>
        <v>218.1</v>
      </c>
      <c r="AN31">
        <f t="shared" si="3"/>
        <v>48.5</v>
      </c>
      <c r="AO31" s="283" t="s">
        <v>1368</v>
      </c>
      <c r="AP31" s="304">
        <f t="shared" si="4"/>
        <v>64</v>
      </c>
      <c r="AQ31" s="305">
        <f t="shared" si="5"/>
        <v>38.5</v>
      </c>
      <c r="AR31" s="7" t="s">
        <v>1372</v>
      </c>
      <c r="AS31" s="7">
        <v>244</v>
      </c>
      <c r="AT31" s="7">
        <v>38.5</v>
      </c>
      <c r="AU31" s="7"/>
      <c r="AV31" s="302">
        <v>218.1</v>
      </c>
      <c r="AW31" s="302">
        <v>48.5</v>
      </c>
      <c r="AX31" s="7" t="s">
        <v>1368</v>
      </c>
      <c r="AY31" s="7" t="s">
        <v>1377</v>
      </c>
      <c r="AZ31" s="7" t="s">
        <v>397</v>
      </c>
      <c r="BA31" s="66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</row>
    <row r="32" spans="1:106" s="283" customFormat="1">
      <c r="A32" s="319" t="s">
        <v>1057</v>
      </c>
      <c r="B32" s="306" t="s">
        <v>1387</v>
      </c>
      <c r="C32" s="307"/>
      <c r="D32" s="308">
        <v>3</v>
      </c>
      <c r="E32" s="306">
        <v>0</v>
      </c>
      <c r="F32" s="306">
        <v>3</v>
      </c>
      <c r="G32" s="306">
        <v>90</v>
      </c>
      <c r="H32" s="291">
        <v>146.4</v>
      </c>
      <c r="I32" s="292">
        <v>52</v>
      </c>
      <c r="J32" s="250">
        <f t="shared" si="0"/>
        <v>326.39999999999998</v>
      </c>
      <c r="K32" s="320">
        <f>267.1</f>
        <v>267.10000000000002</v>
      </c>
      <c r="L32" s="309">
        <v>1.4999999999999999E-2</v>
      </c>
      <c r="M32" s="310">
        <v>1.0115000000000001</v>
      </c>
      <c r="N32" s="311">
        <v>0.99709999999999999</v>
      </c>
      <c r="O32" s="311">
        <v>0.99139999999999995</v>
      </c>
      <c r="P32" s="312">
        <v>1.02</v>
      </c>
      <c r="Q32" s="313">
        <v>1.014</v>
      </c>
      <c r="R32" s="313">
        <v>1.006</v>
      </c>
      <c r="S32" s="273">
        <v>1.115</v>
      </c>
      <c r="T32" s="273">
        <v>0.99099999999999999</v>
      </c>
      <c r="U32" s="274">
        <v>-0.42799999999999999</v>
      </c>
      <c r="V32" s="297">
        <f t="shared" si="1"/>
        <v>1.9871478002966008</v>
      </c>
      <c r="W32" s="309">
        <v>-0.432</v>
      </c>
      <c r="X32" s="314">
        <v>251</v>
      </c>
      <c r="Y32" s="314">
        <v>0</v>
      </c>
      <c r="Z32" s="315">
        <v>1.2</v>
      </c>
      <c r="AA32" s="299">
        <v>161</v>
      </c>
      <c r="AB32" s="299">
        <v>21</v>
      </c>
      <c r="AC32" s="314">
        <v>341</v>
      </c>
      <c r="AD32" s="314">
        <v>69</v>
      </c>
      <c r="AE32" s="316">
        <v>0.9</v>
      </c>
      <c r="AF32" s="283">
        <v>27.2</v>
      </c>
      <c r="AG32" s="301">
        <v>-48.2</v>
      </c>
      <c r="AH32" s="301"/>
      <c r="AI32" s="301"/>
      <c r="AJ32" s="301">
        <v>79.2</v>
      </c>
      <c r="AK32" s="283">
        <v>28.9</v>
      </c>
      <c r="AL32" s="302" t="s">
        <v>1361</v>
      </c>
      <c r="AM32" s="262">
        <f t="shared" si="2"/>
        <v>207.2</v>
      </c>
      <c r="AN32">
        <f t="shared" si="3"/>
        <v>48.2</v>
      </c>
      <c r="AO32" s="283" t="s">
        <v>1368</v>
      </c>
      <c r="AP32" s="304">
        <f t="shared" si="4"/>
        <v>79.2</v>
      </c>
      <c r="AQ32" s="305">
        <f t="shared" si="5"/>
        <v>28.9</v>
      </c>
      <c r="AR32" s="7" t="s">
        <v>1372</v>
      </c>
      <c r="AS32" s="7">
        <v>259.2</v>
      </c>
      <c r="AT32" s="7">
        <v>28.9</v>
      </c>
      <c r="AU32" s="7"/>
      <c r="AV32" s="317">
        <v>207.2</v>
      </c>
      <c r="AW32" s="317">
        <v>48.2</v>
      </c>
      <c r="AX32" s="7" t="s">
        <v>1368</v>
      </c>
      <c r="AY32" s="7" t="s">
        <v>103</v>
      </c>
      <c r="AZ32" s="7" t="s">
        <v>397</v>
      </c>
      <c r="BA32" s="66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</row>
    <row r="33" spans="1:106" s="283" customFormat="1">
      <c r="A33" s="319" t="s">
        <v>1057</v>
      </c>
      <c r="B33" s="290" t="str">
        <f>[2]AMS_raw!A9</f>
        <v>BB13_2</v>
      </c>
      <c r="C33" s="318"/>
      <c r="D33" s="289"/>
      <c r="E33" s="290"/>
      <c r="F33" s="290"/>
      <c r="G33" s="290"/>
      <c r="H33" s="247">
        <v>268</v>
      </c>
      <c r="I33" s="247">
        <v>41</v>
      </c>
      <c r="J33" s="250"/>
      <c r="K33" s="279">
        <f>[2]AMS_raw!G9</f>
        <v>510</v>
      </c>
      <c r="L33" s="256">
        <f>[2]AMS_raw!H9</f>
        <v>7.1999999999999995E-2</v>
      </c>
      <c r="M33" s="247">
        <f>[2]AMS_raw!M9</f>
        <v>1.0241</v>
      </c>
      <c r="N33" s="247">
        <f>[2]AMS_raw!N9</f>
        <v>0.9909</v>
      </c>
      <c r="O33" s="247">
        <f>[2]AMS_raw!O9</f>
        <v>0.98499999999999999</v>
      </c>
      <c r="P33" s="255"/>
      <c r="Q33" s="256"/>
      <c r="R33" s="256"/>
      <c r="S33" s="280">
        <f>[2]AMS_raw!S9</f>
        <v>1.476</v>
      </c>
      <c r="T33" s="280">
        <f>[2]AMS_raw!T9</f>
        <v>0.97299999999999998</v>
      </c>
      <c r="U33" s="281">
        <f>[2]AMS_raw!U9</f>
        <v>-0.69299999999999995</v>
      </c>
      <c r="V33" s="256">
        <f t="shared" si="1"/>
        <v>3.8179865247534441</v>
      </c>
      <c r="W33" s="247">
        <f>[2]AMS_raw!V9</f>
        <v>-0.69799999999999995</v>
      </c>
      <c r="X33" s="247">
        <f>[2]AMS_raw!AM9</f>
        <v>114</v>
      </c>
      <c r="Y33" s="247">
        <f>[2]AMS_raw!AN9</f>
        <v>76</v>
      </c>
      <c r="Z33" s="282"/>
      <c r="AA33" s="282"/>
      <c r="AB33" s="282"/>
      <c r="AC33" s="247">
        <f>[2]AMS_raw!AQ9</f>
        <v>337</v>
      </c>
      <c r="AD33" s="247">
        <f>[2]AMS_raw!AR9</f>
        <v>10</v>
      </c>
      <c r="AE33" s="261"/>
      <c r="AF33" s="247">
        <f>[2]AMS_raw!AD9</f>
        <v>167</v>
      </c>
      <c r="AG33" s="247">
        <f>[2]AMS_raw!AE9</f>
        <v>61</v>
      </c>
      <c r="AH33" s="247">
        <f>[2]AMS_raw!AG9</f>
        <v>331</v>
      </c>
      <c r="AI33" s="247">
        <f>[2]AMS_raw!AH9</f>
        <v>28</v>
      </c>
      <c r="AJ33" s="247">
        <f>[2]AMS_raw!AJ9</f>
        <v>64</v>
      </c>
      <c r="AK33" s="247">
        <f>[2]AMS_raw!AK9</f>
        <v>7</v>
      </c>
      <c r="AL33" s="302"/>
      <c r="AM33" s="262">
        <f t="shared" si="2"/>
        <v>167</v>
      </c>
      <c r="AN33">
        <f t="shared" si="3"/>
        <v>61</v>
      </c>
      <c r="AO33" t="s">
        <v>1343</v>
      </c>
      <c r="AP33" s="304">
        <f t="shared" si="4"/>
        <v>64</v>
      </c>
      <c r="AQ33" s="305">
        <f t="shared" si="5"/>
        <v>7</v>
      </c>
      <c r="AR33" t="s">
        <v>1356</v>
      </c>
      <c r="AS33" s="7"/>
      <c r="AT33" s="7"/>
      <c r="AU33" s="7"/>
      <c r="AV33" s="302"/>
      <c r="AW33" s="302"/>
      <c r="AX33" s="7"/>
      <c r="AY33" s="7" t="s">
        <v>103</v>
      </c>
      <c r="AZ33" s="7" t="s">
        <v>397</v>
      </c>
      <c r="BA33" s="129">
        <f>AVERAGE(AP33:AP34)+90</f>
        <v>154.5</v>
      </c>
      <c r="BB33" s="129">
        <f>90-AVERAGE(AQ33:AQ34)</f>
        <v>83</v>
      </c>
      <c r="BC33" s="7">
        <v>282.39999999999998</v>
      </c>
      <c r="BD33" s="7" t="s">
        <v>1483</v>
      </c>
      <c r="BE33" s="7" t="s">
        <v>1500</v>
      </c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</row>
    <row r="34" spans="1:106" s="283" customFormat="1">
      <c r="A34" s="319" t="s">
        <v>1057</v>
      </c>
      <c r="B34" s="290" t="str">
        <f>[2]AMS_raw!A10</f>
        <v>BB13_4</v>
      </c>
      <c r="C34" s="318"/>
      <c r="D34" s="289"/>
      <c r="E34" s="290"/>
      <c r="F34" s="290"/>
      <c r="G34" s="290"/>
      <c r="H34" s="247">
        <v>268</v>
      </c>
      <c r="I34" s="247">
        <v>41</v>
      </c>
      <c r="J34" s="250"/>
      <c r="K34" s="279">
        <f>[2]AMS_raw!G10</f>
        <v>477.9</v>
      </c>
      <c r="L34" s="256">
        <f>[2]AMS_raw!H10</f>
        <v>8.4000000000000005E-2</v>
      </c>
      <c r="M34" s="247">
        <f>[2]AMS_raw!M10</f>
        <v>1.0234000000000001</v>
      </c>
      <c r="N34" s="247">
        <f>[2]AMS_raw!N10</f>
        <v>0.99060000000000004</v>
      </c>
      <c r="O34" s="247">
        <f>[2]AMS_raw!O10</f>
        <v>0.98599999999999999</v>
      </c>
      <c r="P34" s="255"/>
      <c r="Q34" s="256"/>
      <c r="R34" s="256"/>
      <c r="S34" s="280">
        <f>[2]AMS_raw!S10</f>
        <v>1.5589999999999999</v>
      </c>
      <c r="T34" s="280">
        <f>[2]AMS_raw!T10</f>
        <v>0.97199999999999998</v>
      </c>
      <c r="U34" s="281">
        <f>[2]AMS_raw!U10</f>
        <v>-0.748</v>
      </c>
      <c r="V34" s="256">
        <f t="shared" si="1"/>
        <v>3.6544850498338963</v>
      </c>
      <c r="W34" s="247">
        <f>[2]AMS_raw!V10</f>
        <v>-0.752</v>
      </c>
      <c r="X34" s="247">
        <f>[2]AMS_raw!AM10</f>
        <v>108</v>
      </c>
      <c r="Y34" s="247">
        <f>[2]AMS_raw!AN10</f>
        <v>75</v>
      </c>
      <c r="Z34" s="282"/>
      <c r="AA34" s="282"/>
      <c r="AB34" s="282"/>
      <c r="AC34" s="247">
        <f>[2]AMS_raw!AQ10</f>
        <v>337</v>
      </c>
      <c r="AD34" s="247">
        <f>[2]AMS_raw!AR10</f>
        <v>10</v>
      </c>
      <c r="AE34" s="261"/>
      <c r="AF34" s="247">
        <f>[2]AMS_raw!AD10</f>
        <v>168</v>
      </c>
      <c r="AG34" s="247">
        <f>[2]AMS_raw!AE10</f>
        <v>63</v>
      </c>
      <c r="AH34" s="247">
        <f>[2]AMS_raw!AG10</f>
        <v>331</v>
      </c>
      <c r="AI34" s="247">
        <f>[2]AMS_raw!AH10</f>
        <v>26</v>
      </c>
      <c r="AJ34" s="247">
        <f>[2]AMS_raw!AJ10</f>
        <v>65</v>
      </c>
      <c r="AK34" s="247">
        <f>[2]AMS_raw!AK10</f>
        <v>7</v>
      </c>
      <c r="AL34" s="302"/>
      <c r="AM34" s="262">
        <f t="shared" si="2"/>
        <v>168</v>
      </c>
      <c r="AN34">
        <f t="shared" si="3"/>
        <v>63</v>
      </c>
      <c r="AO34" t="s">
        <v>1343</v>
      </c>
      <c r="AP34" s="304">
        <f t="shared" si="4"/>
        <v>65</v>
      </c>
      <c r="AQ34" s="305">
        <f t="shared" si="5"/>
        <v>7</v>
      </c>
      <c r="AR34" t="s">
        <v>1356</v>
      </c>
      <c r="AS34" s="7"/>
      <c r="AT34" s="7"/>
      <c r="AU34" s="7"/>
      <c r="AV34" s="302"/>
      <c r="AW34" s="302"/>
      <c r="AX34" s="7"/>
      <c r="AY34" s="7" t="s">
        <v>103</v>
      </c>
      <c r="AZ34" s="7" t="s">
        <v>397</v>
      </c>
      <c r="BA34" s="66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</row>
    <row r="35" spans="1:106" s="283" customFormat="1">
      <c r="A35" s="319" t="s">
        <v>1057</v>
      </c>
      <c r="B35" s="288" t="s">
        <v>1388</v>
      </c>
      <c r="C35" s="283">
        <v>23.076000000000001</v>
      </c>
      <c r="D35" s="289">
        <v>3</v>
      </c>
      <c r="E35" s="290">
        <v>0</v>
      </c>
      <c r="F35" s="290">
        <v>3</v>
      </c>
      <c r="G35" s="290">
        <v>90</v>
      </c>
      <c r="H35" s="291">
        <v>163.4</v>
      </c>
      <c r="I35" s="292">
        <v>67</v>
      </c>
      <c r="J35" s="250">
        <f t="shared" si="0"/>
        <v>343.4</v>
      </c>
      <c r="K35" s="248">
        <f>268.2</f>
        <v>268.2</v>
      </c>
      <c r="L35" s="293">
        <v>2.4E-2</v>
      </c>
      <c r="M35" s="294">
        <v>1.0206999999999999</v>
      </c>
      <c r="N35" s="295">
        <v>0.99770000000000003</v>
      </c>
      <c r="O35" s="295">
        <v>0.98150000000000004</v>
      </c>
      <c r="P35" s="296">
        <v>1.04</v>
      </c>
      <c r="Q35" s="297">
        <v>1.0229999999999999</v>
      </c>
      <c r="R35" s="297">
        <v>1.0169999999999999</v>
      </c>
      <c r="S35" s="257">
        <v>0.83</v>
      </c>
      <c r="T35" s="257">
        <v>0.99399999999999999</v>
      </c>
      <c r="U35" s="258">
        <v>-0.16300000000000001</v>
      </c>
      <c r="V35" s="297">
        <f t="shared" si="1"/>
        <v>3.8405016165376606</v>
      </c>
      <c r="W35" s="293">
        <v>-0.17299999999999999</v>
      </c>
      <c r="X35" s="298">
        <v>305</v>
      </c>
      <c r="Y35" s="298">
        <v>37</v>
      </c>
      <c r="Z35" s="299">
        <v>1.1000000000000001</v>
      </c>
      <c r="AA35" s="299">
        <v>45</v>
      </c>
      <c r="AB35" s="299">
        <v>13</v>
      </c>
      <c r="AC35" s="298">
        <v>151</v>
      </c>
      <c r="AD35" s="298">
        <v>50</v>
      </c>
      <c r="AE35" s="300">
        <v>0.7</v>
      </c>
      <c r="AF35" s="283">
        <v>102.9</v>
      </c>
      <c r="AG35" s="301">
        <v>-21.5</v>
      </c>
      <c r="AH35" s="301"/>
      <c r="AI35" s="301"/>
      <c r="AJ35" s="301">
        <v>29.5</v>
      </c>
      <c r="AK35" s="283">
        <v>35.9</v>
      </c>
      <c r="AL35" s="302" t="s">
        <v>1364</v>
      </c>
      <c r="AM35" s="262">
        <f t="shared" si="2"/>
        <v>282.89999999999998</v>
      </c>
      <c r="AN35">
        <f t="shared" si="3"/>
        <v>21.5</v>
      </c>
      <c r="AO35" s="283" t="s">
        <v>1368</v>
      </c>
      <c r="AP35" s="304">
        <f t="shared" si="4"/>
        <v>29.5</v>
      </c>
      <c r="AQ35" s="305">
        <f t="shared" si="5"/>
        <v>35.9</v>
      </c>
      <c r="AR35" s="7" t="s">
        <v>1372</v>
      </c>
      <c r="AS35" s="7">
        <v>209.5</v>
      </c>
      <c r="AT35" s="7">
        <v>35.9</v>
      </c>
      <c r="AU35" s="7"/>
      <c r="AV35" s="302">
        <v>282.89999999999998</v>
      </c>
      <c r="AW35" s="302">
        <v>21.5</v>
      </c>
      <c r="AX35" s="7" t="s">
        <v>1368</v>
      </c>
      <c r="AY35" s="7" t="s">
        <v>103</v>
      </c>
      <c r="AZ35" s="7" t="s">
        <v>1389</v>
      </c>
      <c r="BA35" s="129">
        <f>AVERAGE(AP35:AP37)+90</f>
        <v>115.3</v>
      </c>
      <c r="BB35" s="129">
        <f>90-AVERAGE(AQ35:AQ37)</f>
        <v>53.6</v>
      </c>
      <c r="BC35" s="7">
        <v>277.39999999999998</v>
      </c>
      <c r="BD35" s="7" t="s">
        <v>1484</v>
      </c>
      <c r="BE35" s="7" t="s">
        <v>1500</v>
      </c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</row>
    <row r="36" spans="1:106" s="283" customFormat="1">
      <c r="A36" s="319" t="s">
        <v>1057</v>
      </c>
      <c r="B36" s="288" t="s">
        <v>1390</v>
      </c>
      <c r="C36" s="283">
        <v>21.335999999999999</v>
      </c>
      <c r="D36" s="289">
        <v>3</v>
      </c>
      <c r="E36" s="290">
        <v>0</v>
      </c>
      <c r="F36" s="290">
        <v>3</v>
      </c>
      <c r="G36" s="290">
        <v>90</v>
      </c>
      <c r="H36" s="291">
        <v>163.4</v>
      </c>
      <c r="I36" s="292">
        <v>67</v>
      </c>
      <c r="J36" s="250">
        <f t="shared" si="0"/>
        <v>343.4</v>
      </c>
      <c r="K36" s="251">
        <f>320.3</f>
        <v>320.3</v>
      </c>
      <c r="L36" s="293">
        <v>7.0000000000000001E-3</v>
      </c>
      <c r="M36" s="294">
        <v>1.0128999999999999</v>
      </c>
      <c r="N36" s="295">
        <v>1.006</v>
      </c>
      <c r="O36" s="295">
        <v>0.98109999999999997</v>
      </c>
      <c r="P36" s="296">
        <v>1.032</v>
      </c>
      <c r="Q36" s="297">
        <v>1.0069999999999999</v>
      </c>
      <c r="R36" s="297">
        <v>1.0249999999999999</v>
      </c>
      <c r="S36" s="257">
        <v>0.245</v>
      </c>
      <c r="T36" s="257">
        <v>1.018</v>
      </c>
      <c r="U36" s="257">
        <v>0.56999999999999995</v>
      </c>
      <c r="V36" s="297">
        <f t="shared" si="1"/>
        <v>3.1395004442689252</v>
      </c>
      <c r="W36" s="293">
        <v>0.56399999999999995</v>
      </c>
      <c r="X36" s="298">
        <v>298</v>
      </c>
      <c r="Y36" s="298">
        <v>36</v>
      </c>
      <c r="Z36" s="299">
        <v>1.2</v>
      </c>
      <c r="AA36" s="299">
        <v>39</v>
      </c>
      <c r="AB36" s="299">
        <v>15</v>
      </c>
      <c r="AC36" s="298">
        <v>148</v>
      </c>
      <c r="AD36" s="298">
        <v>40</v>
      </c>
      <c r="AE36" s="300">
        <v>0.3</v>
      </c>
      <c r="AF36" s="283">
        <v>98.2</v>
      </c>
      <c r="AG36" s="301">
        <v>-25.3</v>
      </c>
      <c r="AH36" s="301"/>
      <c r="AI36" s="301"/>
      <c r="AJ36" s="301">
        <v>17.100000000000001</v>
      </c>
      <c r="AK36" s="283">
        <v>38.700000000000003</v>
      </c>
      <c r="AL36" s="302" t="s">
        <v>1364</v>
      </c>
      <c r="AM36" s="262">
        <f t="shared" si="2"/>
        <v>278.2</v>
      </c>
      <c r="AN36">
        <f t="shared" si="3"/>
        <v>25.3</v>
      </c>
      <c r="AO36" s="283" t="s">
        <v>1368</v>
      </c>
      <c r="AP36" s="304">
        <f t="shared" si="4"/>
        <v>17.100000000000001</v>
      </c>
      <c r="AQ36" s="305">
        <f t="shared" si="5"/>
        <v>38.700000000000003</v>
      </c>
      <c r="AR36" s="7" t="s">
        <v>1372</v>
      </c>
      <c r="AS36" s="7">
        <v>197.1</v>
      </c>
      <c r="AT36" s="7">
        <v>38.700000000000003</v>
      </c>
      <c r="AU36" s="7"/>
      <c r="AV36" s="302">
        <v>278.2</v>
      </c>
      <c r="AW36" s="302">
        <v>25.3</v>
      </c>
      <c r="AX36" s="7" t="s">
        <v>1368</v>
      </c>
      <c r="AY36" s="7" t="s">
        <v>1380</v>
      </c>
      <c r="AZ36" s="7" t="s">
        <v>1389</v>
      </c>
      <c r="BA36" s="66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</row>
    <row r="37" spans="1:106" s="283" customFormat="1">
      <c r="A37" s="319" t="s">
        <v>1057</v>
      </c>
      <c r="B37" s="306" t="s">
        <v>1391</v>
      </c>
      <c r="C37" s="307"/>
      <c r="D37" s="308">
        <v>3</v>
      </c>
      <c r="E37" s="306">
        <v>0</v>
      </c>
      <c r="F37" s="306">
        <v>3</v>
      </c>
      <c r="G37" s="306">
        <v>90</v>
      </c>
      <c r="H37" s="291">
        <v>163.4</v>
      </c>
      <c r="I37" s="292">
        <v>67</v>
      </c>
      <c r="J37" s="250">
        <f t="shared" si="0"/>
        <v>343.4</v>
      </c>
      <c r="K37" s="320">
        <f>297.1</f>
        <v>297.10000000000002</v>
      </c>
      <c r="L37" s="309">
        <v>5.0000000000000001E-3</v>
      </c>
      <c r="M37" s="310">
        <v>1.0145</v>
      </c>
      <c r="N37" s="311">
        <v>1.0054000000000001</v>
      </c>
      <c r="O37" s="311">
        <v>0.98009999999999997</v>
      </c>
      <c r="P37" s="312">
        <v>1.0349999999999999</v>
      </c>
      <c r="Q37" s="313">
        <v>1.0089999999999999</v>
      </c>
      <c r="R37" s="313">
        <v>1.026</v>
      </c>
      <c r="S37" s="273">
        <v>0.307</v>
      </c>
      <c r="T37" s="273">
        <v>1.016</v>
      </c>
      <c r="U37" s="273">
        <v>0.47399999999999998</v>
      </c>
      <c r="V37" s="297">
        <f t="shared" si="1"/>
        <v>3.3908329226219802</v>
      </c>
      <c r="W37" s="309">
        <v>0.46700000000000003</v>
      </c>
      <c r="X37" s="314">
        <v>301</v>
      </c>
      <c r="Y37" s="314">
        <v>36</v>
      </c>
      <c r="Z37" s="315">
        <v>0.6</v>
      </c>
      <c r="AA37" s="299">
        <v>43</v>
      </c>
      <c r="AB37" s="299">
        <v>16</v>
      </c>
      <c r="AC37" s="314">
        <v>153</v>
      </c>
      <c r="AD37" s="314">
        <v>50</v>
      </c>
      <c r="AE37" s="316">
        <v>0.2</v>
      </c>
      <c r="AF37" s="283">
        <v>100.6</v>
      </c>
      <c r="AG37" s="301">
        <v>-24.1</v>
      </c>
      <c r="AH37" s="301"/>
      <c r="AI37" s="301"/>
      <c r="AJ37" s="301">
        <v>29.3</v>
      </c>
      <c r="AK37" s="283">
        <v>34.6</v>
      </c>
      <c r="AL37" s="302" t="s">
        <v>1364</v>
      </c>
      <c r="AM37" s="262">
        <f t="shared" si="2"/>
        <v>280.60000000000002</v>
      </c>
      <c r="AN37">
        <f t="shared" si="3"/>
        <v>24.1</v>
      </c>
      <c r="AO37" s="283" t="s">
        <v>1368</v>
      </c>
      <c r="AP37" s="304">
        <f t="shared" si="4"/>
        <v>29.3</v>
      </c>
      <c r="AQ37" s="305">
        <f t="shared" si="5"/>
        <v>34.6</v>
      </c>
      <c r="AR37" s="7" t="s">
        <v>1372</v>
      </c>
      <c r="AS37" s="7">
        <v>209.3</v>
      </c>
      <c r="AT37" s="7">
        <v>34.6</v>
      </c>
      <c r="AU37" s="7"/>
      <c r="AV37" s="317">
        <v>280.60000000000002</v>
      </c>
      <c r="AW37" s="317">
        <v>24.1</v>
      </c>
      <c r="AX37" s="7" t="s">
        <v>1368</v>
      </c>
      <c r="AY37" s="7" t="s">
        <v>1380</v>
      </c>
      <c r="AZ37" s="7" t="s">
        <v>1389</v>
      </c>
      <c r="BA37" s="66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</row>
    <row r="38" spans="1:106" s="321" customFormat="1">
      <c r="A38" s="321" t="s">
        <v>1095</v>
      </c>
      <c r="B38" s="322" t="s">
        <v>1392</v>
      </c>
      <c r="C38" s="321">
        <v>20.823</v>
      </c>
      <c r="D38" s="323">
        <v>3</v>
      </c>
      <c r="E38" s="324">
        <v>0</v>
      </c>
      <c r="F38" s="324">
        <v>3</v>
      </c>
      <c r="G38" s="324">
        <v>90</v>
      </c>
      <c r="H38" s="325">
        <v>49.4</v>
      </c>
      <c r="I38" s="326">
        <v>79</v>
      </c>
      <c r="J38" s="250">
        <f t="shared" si="0"/>
        <v>229.4</v>
      </c>
      <c r="K38" s="248">
        <f>86.63</f>
        <v>86.63</v>
      </c>
      <c r="L38" s="327">
        <v>2.1000000000000001E-2</v>
      </c>
      <c r="M38" s="328">
        <v>1.0163</v>
      </c>
      <c r="N38" s="329">
        <v>0.99839999999999995</v>
      </c>
      <c r="O38" s="329">
        <v>0.98529999999999995</v>
      </c>
      <c r="P38" s="330">
        <v>1.032</v>
      </c>
      <c r="Q38" s="331">
        <v>1.018</v>
      </c>
      <c r="R38" s="331">
        <v>1.0129999999999999</v>
      </c>
      <c r="S38" s="257">
        <v>0.81200000000000006</v>
      </c>
      <c r="T38" s="257">
        <v>0.995</v>
      </c>
      <c r="U38" s="258">
        <v>-0.14699999999999999</v>
      </c>
      <c r="V38" s="331">
        <f t="shared" si="1"/>
        <v>3.0502804290071857</v>
      </c>
      <c r="W38" s="327">
        <v>-0.155</v>
      </c>
      <c r="X38" s="332">
        <v>150</v>
      </c>
      <c r="Y38" s="332">
        <v>74</v>
      </c>
      <c r="Z38" s="333">
        <v>1.4</v>
      </c>
      <c r="AA38" s="299">
        <v>16</v>
      </c>
      <c r="AB38" s="299">
        <v>11</v>
      </c>
      <c r="AC38" s="332">
        <v>284</v>
      </c>
      <c r="AD38" s="332">
        <v>11</v>
      </c>
      <c r="AE38" s="334">
        <v>0.8</v>
      </c>
      <c r="AF38" s="321">
        <v>304.8</v>
      </c>
      <c r="AG38" s="335">
        <v>18.600000000000001</v>
      </c>
      <c r="AH38" s="335"/>
      <c r="AI38" s="335"/>
      <c r="AJ38" s="335">
        <v>352.2</v>
      </c>
      <c r="AK38" s="321">
        <v>-64</v>
      </c>
      <c r="AL38" s="302"/>
      <c r="AM38" s="336">
        <f t="shared" si="2"/>
        <v>304.8</v>
      </c>
      <c r="AN38" s="321">
        <f t="shared" si="3"/>
        <v>18.600000000000001</v>
      </c>
      <c r="AO38" s="321" t="s">
        <v>1393</v>
      </c>
      <c r="AP38" s="336">
        <f t="shared" si="4"/>
        <v>172.20000000000005</v>
      </c>
      <c r="AQ38" s="321">
        <f t="shared" si="5"/>
        <v>64</v>
      </c>
      <c r="AR38" s="321" t="s">
        <v>1394</v>
      </c>
      <c r="AS38" s="321">
        <v>172.2</v>
      </c>
      <c r="AT38" s="321">
        <v>-64</v>
      </c>
      <c r="AV38" s="332">
        <v>304.8</v>
      </c>
      <c r="AW38" s="332">
        <v>18.600000000000001</v>
      </c>
      <c r="AX38" s="321" t="s">
        <v>1343</v>
      </c>
      <c r="AY38" s="7" t="s">
        <v>103</v>
      </c>
      <c r="AZ38" s="7" t="s">
        <v>1373</v>
      </c>
      <c r="BA38" s="285">
        <f>AVERAGE(AP38:AP45)+90</f>
        <v>281.88750000000005</v>
      </c>
      <c r="BB38" s="285">
        <f>90-AVERAGE(AQ38:AQ45)</f>
        <v>35.437500000000007</v>
      </c>
      <c r="BC38" s="286">
        <v>279.89999999999998</v>
      </c>
      <c r="BD38" s="286">
        <v>43.5</v>
      </c>
      <c r="BE38" s="7" t="s">
        <v>1395</v>
      </c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</row>
    <row r="39" spans="1:106" s="321" customFormat="1">
      <c r="B39" s="322" t="s">
        <v>1396</v>
      </c>
      <c r="C39" s="321">
        <v>18.875</v>
      </c>
      <c r="D39" s="323">
        <v>3</v>
      </c>
      <c r="E39" s="324">
        <v>0</v>
      </c>
      <c r="F39" s="324">
        <v>3</v>
      </c>
      <c r="G39" s="324">
        <v>90</v>
      </c>
      <c r="H39" s="325">
        <v>49.4</v>
      </c>
      <c r="I39" s="326">
        <v>79</v>
      </c>
      <c r="J39" s="250">
        <f t="shared" si="0"/>
        <v>229.4</v>
      </c>
      <c r="K39" s="248">
        <f>77.65</f>
        <v>77.650000000000006</v>
      </c>
      <c r="L39" s="327">
        <v>0.08</v>
      </c>
      <c r="M39" s="328">
        <v>1.0158</v>
      </c>
      <c r="N39" s="329">
        <v>0.99880000000000002</v>
      </c>
      <c r="O39" s="329">
        <v>0.98540000000000005</v>
      </c>
      <c r="P39" s="330">
        <v>1.0309999999999999</v>
      </c>
      <c r="Q39" s="331">
        <v>1.0169999999999999</v>
      </c>
      <c r="R39" s="331">
        <v>1.014</v>
      </c>
      <c r="S39" s="257">
        <v>0.77900000000000003</v>
      </c>
      <c r="T39" s="257">
        <v>0.997</v>
      </c>
      <c r="U39" s="258">
        <v>-0.114</v>
      </c>
      <c r="V39" s="331">
        <f t="shared" si="1"/>
        <v>2.992715101397911</v>
      </c>
      <c r="W39" s="327">
        <v>-0.121</v>
      </c>
      <c r="X39" s="332">
        <v>253</v>
      </c>
      <c r="Y39" s="332">
        <v>80</v>
      </c>
      <c r="Z39" s="333">
        <v>5.8</v>
      </c>
      <c r="AA39" s="299">
        <v>17</v>
      </c>
      <c r="AB39" s="299">
        <v>5</v>
      </c>
      <c r="AC39" s="332">
        <v>108</v>
      </c>
      <c r="AD39" s="332">
        <v>8</v>
      </c>
      <c r="AE39" s="334">
        <v>3.2</v>
      </c>
      <c r="AF39" s="321">
        <v>316.5</v>
      </c>
      <c r="AG39" s="335">
        <v>1.4</v>
      </c>
      <c r="AH39" s="335"/>
      <c r="AI39" s="335"/>
      <c r="AJ39" s="335">
        <v>221.4</v>
      </c>
      <c r="AK39" s="321">
        <v>72</v>
      </c>
      <c r="AL39" s="302"/>
      <c r="AM39" s="336">
        <f t="shared" si="2"/>
        <v>316.5</v>
      </c>
      <c r="AN39" s="321">
        <f t="shared" si="3"/>
        <v>1.4</v>
      </c>
      <c r="AO39" s="321" t="s">
        <v>1393</v>
      </c>
      <c r="AP39" s="336">
        <f t="shared" si="4"/>
        <v>221.4</v>
      </c>
      <c r="AQ39" s="321">
        <f t="shared" si="5"/>
        <v>72</v>
      </c>
      <c r="AR39" s="321" t="s">
        <v>1394</v>
      </c>
      <c r="AS39" s="321">
        <v>41.4</v>
      </c>
      <c r="AT39" s="321">
        <v>72</v>
      </c>
      <c r="AV39" s="332">
        <v>316.5</v>
      </c>
      <c r="AW39" s="332">
        <v>1.4</v>
      </c>
      <c r="AX39" s="321" t="s">
        <v>1343</v>
      </c>
      <c r="AY39" s="7" t="s">
        <v>103</v>
      </c>
      <c r="AZ39" s="7" t="s">
        <v>1373</v>
      </c>
      <c r="BA39" s="66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</row>
    <row r="40" spans="1:106" s="321" customFormat="1">
      <c r="B40" s="322" t="s">
        <v>1397</v>
      </c>
      <c r="C40" s="337"/>
      <c r="D40" s="323">
        <v>3</v>
      </c>
      <c r="E40" s="324">
        <v>0</v>
      </c>
      <c r="F40" s="324">
        <v>3</v>
      </c>
      <c r="G40" s="324">
        <v>90</v>
      </c>
      <c r="H40" s="325">
        <v>49.4</v>
      </c>
      <c r="I40" s="326">
        <v>79</v>
      </c>
      <c r="J40" s="250">
        <f t="shared" si="0"/>
        <v>229.4</v>
      </c>
      <c r="K40" s="248">
        <f>80.9</f>
        <v>80.900000000000006</v>
      </c>
      <c r="L40" s="327">
        <v>5.5E-2</v>
      </c>
      <c r="M40" s="328">
        <v>1.0183</v>
      </c>
      <c r="N40" s="329">
        <v>0.99829999999999997</v>
      </c>
      <c r="O40" s="329">
        <v>0.93500000000000005</v>
      </c>
      <c r="P40" s="330">
        <v>1.0349999999999999</v>
      </c>
      <c r="Q40" s="331">
        <v>1.02</v>
      </c>
      <c r="R40" s="331">
        <v>1.0149999999999999</v>
      </c>
      <c r="S40" s="257">
        <v>0.80500000000000005</v>
      </c>
      <c r="T40" s="257">
        <v>0.995</v>
      </c>
      <c r="U40" s="258">
        <v>-0.14000000000000001</v>
      </c>
      <c r="V40" s="331">
        <f t="shared" si="1"/>
        <v>8.1803005008347185</v>
      </c>
      <c r="W40" s="327">
        <v>-0.14799999999999999</v>
      </c>
      <c r="X40" s="332">
        <v>122</v>
      </c>
      <c r="Y40" s="332">
        <v>77</v>
      </c>
      <c r="Z40" s="333">
        <v>3.4</v>
      </c>
      <c r="AA40" s="299">
        <v>20</v>
      </c>
      <c r="AB40" s="299">
        <v>3</v>
      </c>
      <c r="AC40" s="332">
        <v>290</v>
      </c>
      <c r="AD40" s="332">
        <v>12</v>
      </c>
      <c r="AE40" s="334">
        <v>1.9</v>
      </c>
      <c r="AF40" s="321">
        <v>312</v>
      </c>
      <c r="AG40" s="335">
        <v>21.9</v>
      </c>
      <c r="AH40" s="335"/>
      <c r="AI40" s="335"/>
      <c r="AJ40" s="335">
        <v>0.8</v>
      </c>
      <c r="AK40" s="321">
        <v>-59.6</v>
      </c>
      <c r="AL40" s="302"/>
      <c r="AM40" s="336">
        <f t="shared" si="2"/>
        <v>312</v>
      </c>
      <c r="AN40" s="321">
        <f t="shared" si="3"/>
        <v>21.9</v>
      </c>
      <c r="AO40" s="321" t="s">
        <v>1393</v>
      </c>
      <c r="AP40" s="336">
        <f t="shared" si="4"/>
        <v>180.8</v>
      </c>
      <c r="AQ40" s="321">
        <f t="shared" si="5"/>
        <v>59.6</v>
      </c>
      <c r="AR40" s="321" t="s">
        <v>1394</v>
      </c>
      <c r="AS40" s="321">
        <v>180.8</v>
      </c>
      <c r="AT40" s="321">
        <v>-59.6</v>
      </c>
      <c r="AV40" s="332">
        <v>312</v>
      </c>
      <c r="AW40" s="332">
        <v>21.9</v>
      </c>
      <c r="AX40" s="321" t="s">
        <v>1343</v>
      </c>
      <c r="AY40" s="7" t="s">
        <v>103</v>
      </c>
      <c r="AZ40" s="7" t="s">
        <v>1373</v>
      </c>
      <c r="BA40" s="66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</row>
    <row r="41" spans="1:106" s="321" customFormat="1">
      <c r="B41" s="338" t="s">
        <v>1398</v>
      </c>
      <c r="C41" s="339"/>
      <c r="D41" s="340">
        <v>3</v>
      </c>
      <c r="E41" s="338">
        <v>0</v>
      </c>
      <c r="F41" s="338">
        <v>3</v>
      </c>
      <c r="G41" s="338">
        <v>90</v>
      </c>
      <c r="H41" s="325">
        <v>49.4</v>
      </c>
      <c r="I41" s="326">
        <v>79</v>
      </c>
      <c r="J41" s="250">
        <f t="shared" si="0"/>
        <v>229.4</v>
      </c>
      <c r="K41" s="320">
        <f>89.47</f>
        <v>89.47</v>
      </c>
      <c r="L41" s="341">
        <v>5.0999999999999997E-2</v>
      </c>
      <c r="M41" s="342">
        <v>1.0156000000000001</v>
      </c>
      <c r="N41" s="343">
        <v>1.0004</v>
      </c>
      <c r="O41" s="343">
        <v>0.98399999999999999</v>
      </c>
      <c r="P41" s="344">
        <v>1.032</v>
      </c>
      <c r="Q41" s="345">
        <v>1.0149999999999999</v>
      </c>
      <c r="R41" s="345">
        <v>1.0169999999999999</v>
      </c>
      <c r="S41" s="273">
        <v>0.63300000000000001</v>
      </c>
      <c r="T41" s="273">
        <v>1.0009999999999999</v>
      </c>
      <c r="U41" s="273">
        <v>4.5999999999999999E-2</v>
      </c>
      <c r="V41" s="331">
        <f t="shared" si="1"/>
        <v>3.1114612051989043</v>
      </c>
      <c r="W41" s="341">
        <v>3.7999999999999999E-2</v>
      </c>
      <c r="X41" s="346">
        <v>132</v>
      </c>
      <c r="Y41" s="346">
        <v>75</v>
      </c>
      <c r="Z41" s="347">
        <v>4.0999999999999996</v>
      </c>
      <c r="AA41" s="299">
        <v>21</v>
      </c>
      <c r="AB41" s="299">
        <v>6</v>
      </c>
      <c r="AC41" s="346">
        <v>290</v>
      </c>
      <c r="AD41" s="346">
        <v>14</v>
      </c>
      <c r="AE41" s="348">
        <v>2</v>
      </c>
      <c r="AF41" s="321">
        <v>308.60000000000002</v>
      </c>
      <c r="AG41" s="335">
        <v>21.9</v>
      </c>
      <c r="AH41" s="335"/>
      <c r="AI41" s="335"/>
      <c r="AJ41" s="335">
        <v>358.3</v>
      </c>
      <c r="AK41" s="321">
        <v>-58.1</v>
      </c>
      <c r="AL41" s="302"/>
      <c r="AM41" s="336">
        <f t="shared" si="2"/>
        <v>308.60000000000002</v>
      </c>
      <c r="AN41" s="321">
        <f t="shared" si="3"/>
        <v>21.9</v>
      </c>
      <c r="AO41" s="321" t="s">
        <v>1393</v>
      </c>
      <c r="AP41" s="336">
        <f t="shared" si="4"/>
        <v>178.29999999999995</v>
      </c>
      <c r="AQ41" s="321">
        <f t="shared" si="5"/>
        <v>58.1</v>
      </c>
      <c r="AR41" s="321" t="s">
        <v>1394</v>
      </c>
      <c r="AS41" s="321">
        <v>178.3</v>
      </c>
      <c r="AT41" s="321">
        <v>-58.1</v>
      </c>
      <c r="AV41" s="346">
        <v>308.60000000000002</v>
      </c>
      <c r="AW41" s="346">
        <v>21.9</v>
      </c>
      <c r="AX41" s="321" t="s">
        <v>1343</v>
      </c>
      <c r="AY41" s="7" t="s">
        <v>1377</v>
      </c>
      <c r="AZ41" s="7" t="s">
        <v>1373</v>
      </c>
      <c r="BA41" s="66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</row>
    <row r="42" spans="1:106" s="321" customFormat="1">
      <c r="A42" s="321" t="s">
        <v>1095</v>
      </c>
      <c r="B42" s="324" t="s">
        <v>1399</v>
      </c>
      <c r="C42" s="321">
        <v>19.481999999999999</v>
      </c>
      <c r="D42" s="323">
        <v>3</v>
      </c>
      <c r="E42" s="324">
        <v>0</v>
      </c>
      <c r="F42" s="324">
        <v>3</v>
      </c>
      <c r="G42" s="324">
        <v>90</v>
      </c>
      <c r="H42" s="325">
        <v>49.4</v>
      </c>
      <c r="I42" s="326">
        <v>60</v>
      </c>
      <c r="J42" s="250">
        <f t="shared" si="0"/>
        <v>229.4</v>
      </c>
      <c r="K42" s="248">
        <f>107.7</f>
        <v>107.7</v>
      </c>
      <c r="L42" s="327">
        <v>0.02</v>
      </c>
      <c r="M42" s="328">
        <v>1.0156000000000001</v>
      </c>
      <c r="N42" s="329">
        <v>1.0038</v>
      </c>
      <c r="O42" s="329">
        <v>0.98060000000000003</v>
      </c>
      <c r="P42" s="330">
        <v>1.036</v>
      </c>
      <c r="Q42" s="331">
        <v>1.012</v>
      </c>
      <c r="R42" s="331">
        <v>1.024</v>
      </c>
      <c r="S42" s="257">
        <v>0.40300000000000002</v>
      </c>
      <c r="T42" s="257">
        <v>1.012</v>
      </c>
      <c r="U42" s="257">
        <v>0.33700000000000002</v>
      </c>
      <c r="V42" s="331">
        <f t="shared" si="1"/>
        <v>3.4462386766443509</v>
      </c>
      <c r="W42" s="327">
        <v>0.32900000000000001</v>
      </c>
      <c r="X42" s="332">
        <v>25</v>
      </c>
      <c r="Y42" s="332">
        <v>82</v>
      </c>
      <c r="Z42" s="333">
        <v>2.1</v>
      </c>
      <c r="AA42" s="299">
        <v>213</v>
      </c>
      <c r="AB42" s="299">
        <v>8</v>
      </c>
      <c r="AC42" s="332">
        <v>123</v>
      </c>
      <c r="AD42" s="332">
        <v>1</v>
      </c>
      <c r="AE42" s="334">
        <v>0.7</v>
      </c>
      <c r="AF42" s="321">
        <v>328.1</v>
      </c>
      <c r="AG42" s="335">
        <v>33.1</v>
      </c>
      <c r="AH42" s="335"/>
      <c r="AI42" s="335"/>
      <c r="AJ42" s="335">
        <v>192.8</v>
      </c>
      <c r="AK42" s="321">
        <v>47.3</v>
      </c>
      <c r="AL42" s="302"/>
      <c r="AM42" s="336">
        <f t="shared" si="2"/>
        <v>328.1</v>
      </c>
      <c r="AN42" s="321">
        <f t="shared" si="3"/>
        <v>33.1</v>
      </c>
      <c r="AO42" s="321" t="s">
        <v>1393</v>
      </c>
      <c r="AP42" s="336">
        <f t="shared" si="4"/>
        <v>192.8</v>
      </c>
      <c r="AQ42" s="321">
        <f t="shared" si="5"/>
        <v>47.3</v>
      </c>
      <c r="AR42" s="321" t="s">
        <v>1394</v>
      </c>
      <c r="AS42" s="321">
        <v>12.8</v>
      </c>
      <c r="AT42" s="321">
        <v>47.3</v>
      </c>
      <c r="AV42" s="332">
        <v>328.1</v>
      </c>
      <c r="AW42" s="332">
        <v>33.1</v>
      </c>
      <c r="AX42" s="321" t="s">
        <v>1368</v>
      </c>
      <c r="AY42" s="7" t="s">
        <v>1400</v>
      </c>
      <c r="AZ42" s="7" t="s">
        <v>1373</v>
      </c>
      <c r="BA42" s="66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</row>
    <row r="43" spans="1:106" s="321" customFormat="1">
      <c r="B43" s="322" t="s">
        <v>1401</v>
      </c>
      <c r="C43" s="349">
        <v>19.867000000000001</v>
      </c>
      <c r="D43" s="323">
        <v>3</v>
      </c>
      <c r="E43" s="324">
        <v>0</v>
      </c>
      <c r="F43" s="324">
        <v>3</v>
      </c>
      <c r="G43" s="324">
        <v>90</v>
      </c>
      <c r="H43" s="325">
        <v>49.4</v>
      </c>
      <c r="I43" s="326">
        <v>60</v>
      </c>
      <c r="J43" s="250">
        <f t="shared" si="0"/>
        <v>229.4</v>
      </c>
      <c r="K43" s="248">
        <f>95.1</f>
        <v>95.1</v>
      </c>
      <c r="L43" s="327">
        <v>5.1999999999999998E-2</v>
      </c>
      <c r="M43" s="328">
        <v>1.0179</v>
      </c>
      <c r="N43" s="329">
        <v>1.0027999999999999</v>
      </c>
      <c r="O43" s="329">
        <v>0.97929999999999995</v>
      </c>
      <c r="P43" s="330">
        <v>1.0389999999999999</v>
      </c>
      <c r="Q43" s="331">
        <v>1.0149999999999999</v>
      </c>
      <c r="R43" s="331">
        <v>1.024</v>
      </c>
      <c r="S43" s="257">
        <v>0.48399999999999999</v>
      </c>
      <c r="T43" s="257">
        <v>1.0089999999999999</v>
      </c>
      <c r="U43" s="257">
        <v>0.22900000000000001</v>
      </c>
      <c r="V43" s="331">
        <f t="shared" si="1"/>
        <v>3.7921210335003517</v>
      </c>
      <c r="W43" s="327">
        <v>0.22</v>
      </c>
      <c r="X43" s="332">
        <v>30</v>
      </c>
      <c r="Y43" s="332">
        <v>83</v>
      </c>
      <c r="Z43" s="333">
        <v>4.2</v>
      </c>
      <c r="AA43" s="299">
        <v>216</v>
      </c>
      <c r="AB43" s="299">
        <v>7</v>
      </c>
      <c r="AC43" s="332">
        <v>126</v>
      </c>
      <c r="AD43" s="332">
        <v>1</v>
      </c>
      <c r="AE43" s="334">
        <v>1.7</v>
      </c>
      <c r="AF43" s="321">
        <v>326.7</v>
      </c>
      <c r="AG43" s="335">
        <v>33.299999999999997</v>
      </c>
      <c r="AH43" s="335"/>
      <c r="AI43" s="335"/>
      <c r="AJ43" s="335">
        <v>195.9</v>
      </c>
      <c r="AK43" s="321">
        <v>45.2</v>
      </c>
      <c r="AL43" s="302"/>
      <c r="AM43" s="336">
        <f t="shared" si="2"/>
        <v>326.7</v>
      </c>
      <c r="AN43" s="321">
        <f t="shared" si="3"/>
        <v>33.299999999999997</v>
      </c>
      <c r="AO43" s="321" t="s">
        <v>1393</v>
      </c>
      <c r="AP43" s="336">
        <f t="shared" si="4"/>
        <v>195.9</v>
      </c>
      <c r="AQ43" s="321">
        <f t="shared" si="5"/>
        <v>45.2</v>
      </c>
      <c r="AR43" s="321" t="s">
        <v>1394</v>
      </c>
      <c r="AS43" s="321">
        <v>15.9</v>
      </c>
      <c r="AT43" s="321">
        <v>45.2</v>
      </c>
      <c r="AV43" s="332">
        <v>326.7</v>
      </c>
      <c r="AW43" s="332">
        <v>33.299999999999997</v>
      </c>
      <c r="AX43" s="321" t="s">
        <v>1368</v>
      </c>
      <c r="AY43" s="7" t="s">
        <v>1400</v>
      </c>
      <c r="AZ43" s="7" t="s">
        <v>1373</v>
      </c>
      <c r="BA43" s="66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</row>
    <row r="44" spans="1:106" s="321" customFormat="1">
      <c r="B44" s="322" t="s">
        <v>1402</v>
      </c>
      <c r="C44" s="337"/>
      <c r="D44" s="323">
        <v>3</v>
      </c>
      <c r="E44" s="324">
        <v>0</v>
      </c>
      <c r="F44" s="324">
        <v>3</v>
      </c>
      <c r="G44" s="324">
        <v>90</v>
      </c>
      <c r="H44" s="325">
        <v>49.4</v>
      </c>
      <c r="I44" s="326">
        <v>60</v>
      </c>
      <c r="J44" s="250">
        <f t="shared" si="0"/>
        <v>229.4</v>
      </c>
      <c r="K44" s="248">
        <f>100.3</f>
        <v>100.3</v>
      </c>
      <c r="L44" s="327">
        <v>3.3000000000000002E-2</v>
      </c>
      <c r="M44" s="328">
        <v>1.0159</v>
      </c>
      <c r="N44" s="329">
        <v>1.0023</v>
      </c>
      <c r="O44" s="329">
        <v>0.98180000000000001</v>
      </c>
      <c r="P44" s="330">
        <v>1.0349999999999999</v>
      </c>
      <c r="Q44" s="331">
        <v>1.014</v>
      </c>
      <c r="R44" s="331">
        <v>1.0209999999999999</v>
      </c>
      <c r="S44" s="257">
        <v>0.5</v>
      </c>
      <c r="T44" s="257">
        <v>1.0069999999999999</v>
      </c>
      <c r="U44" s="257">
        <v>0.20799999999999999</v>
      </c>
      <c r="V44" s="331">
        <f t="shared" si="1"/>
        <v>3.3566295895265301</v>
      </c>
      <c r="W44" s="327">
        <v>0.2</v>
      </c>
      <c r="X44" s="332">
        <v>32</v>
      </c>
      <c r="Y44" s="332">
        <v>75</v>
      </c>
      <c r="Z44" s="333">
        <v>2.9</v>
      </c>
      <c r="AA44" s="299">
        <v>216</v>
      </c>
      <c r="AB44" s="299">
        <v>15</v>
      </c>
      <c r="AC44" s="332">
        <v>125</v>
      </c>
      <c r="AD44" s="332">
        <v>1</v>
      </c>
      <c r="AE44" s="334">
        <v>1.2</v>
      </c>
      <c r="AF44" s="321">
        <v>335.4</v>
      </c>
      <c r="AG44" s="335">
        <v>37</v>
      </c>
      <c r="AH44" s="335"/>
      <c r="AI44" s="335"/>
      <c r="AJ44" s="335">
        <v>194.9</v>
      </c>
      <c r="AK44" s="321">
        <v>45.9</v>
      </c>
      <c r="AL44" s="302"/>
      <c r="AM44" s="336">
        <f t="shared" si="2"/>
        <v>335.4</v>
      </c>
      <c r="AN44" s="321">
        <f t="shared" si="3"/>
        <v>37</v>
      </c>
      <c r="AO44" s="321" t="s">
        <v>1393</v>
      </c>
      <c r="AP44" s="336">
        <f t="shared" si="4"/>
        <v>194.9</v>
      </c>
      <c r="AQ44" s="321">
        <f t="shared" si="5"/>
        <v>45.9</v>
      </c>
      <c r="AR44" s="321" t="s">
        <v>1394</v>
      </c>
      <c r="AS44" s="321">
        <v>14.9</v>
      </c>
      <c r="AT44" s="321">
        <v>45.9</v>
      </c>
      <c r="AV44" s="332">
        <v>335.4</v>
      </c>
      <c r="AW44" s="332">
        <v>37</v>
      </c>
      <c r="AX44" s="321" t="s">
        <v>1368</v>
      </c>
      <c r="AY44" s="7" t="s">
        <v>1400</v>
      </c>
      <c r="AZ44" s="7" t="s">
        <v>1373</v>
      </c>
      <c r="BA44" s="66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</row>
    <row r="45" spans="1:106" s="321" customFormat="1">
      <c r="B45" s="338" t="s">
        <v>1403</v>
      </c>
      <c r="C45" s="339"/>
      <c r="D45" s="340">
        <v>3</v>
      </c>
      <c r="E45" s="338">
        <v>0</v>
      </c>
      <c r="F45" s="338">
        <v>3</v>
      </c>
      <c r="G45" s="338">
        <v>90</v>
      </c>
      <c r="H45" s="325">
        <v>49.4</v>
      </c>
      <c r="I45" s="326">
        <v>60</v>
      </c>
      <c r="J45" s="250">
        <f t="shared" si="0"/>
        <v>229.4</v>
      </c>
      <c r="K45" s="320">
        <f>101</f>
        <v>101</v>
      </c>
      <c r="L45" s="341">
        <v>3.5999999999999997E-2</v>
      </c>
      <c r="M45" s="342">
        <v>1.0167999999999999</v>
      </c>
      <c r="N45" s="343">
        <v>1.0018</v>
      </c>
      <c r="O45" s="343">
        <v>0.98140000000000005</v>
      </c>
      <c r="P45" s="344">
        <v>1.036</v>
      </c>
      <c r="Q45" s="345">
        <v>1.0149999999999999</v>
      </c>
      <c r="R45" s="345">
        <v>1.0209999999999999</v>
      </c>
      <c r="S45" s="273">
        <v>0.53900000000000003</v>
      </c>
      <c r="T45" s="273">
        <v>1.006</v>
      </c>
      <c r="U45" s="273">
        <v>0.16</v>
      </c>
      <c r="V45" s="331">
        <f t="shared" si="1"/>
        <v>3.4815106215578164</v>
      </c>
      <c r="W45" s="341">
        <v>0.151</v>
      </c>
      <c r="X45" s="346">
        <v>26</v>
      </c>
      <c r="Y45" s="346">
        <v>80</v>
      </c>
      <c r="Z45" s="347">
        <v>2.9</v>
      </c>
      <c r="AA45" s="299">
        <v>218</v>
      </c>
      <c r="AB45" s="299">
        <v>9</v>
      </c>
      <c r="AC45" s="346">
        <v>128</v>
      </c>
      <c r="AD45" s="346">
        <v>2</v>
      </c>
      <c r="AE45" s="348">
        <v>1.2</v>
      </c>
      <c r="AF45" s="321">
        <v>330.2</v>
      </c>
      <c r="AG45" s="335">
        <v>33.9</v>
      </c>
      <c r="AH45" s="335"/>
      <c r="AI45" s="335"/>
      <c r="AJ45" s="335">
        <v>198.8</v>
      </c>
      <c r="AK45" s="321">
        <v>44.4</v>
      </c>
      <c r="AL45" s="302"/>
      <c r="AM45" s="336">
        <f t="shared" si="2"/>
        <v>330.2</v>
      </c>
      <c r="AN45" s="321">
        <f t="shared" si="3"/>
        <v>33.9</v>
      </c>
      <c r="AO45" s="321" t="s">
        <v>1393</v>
      </c>
      <c r="AP45" s="336">
        <f t="shared" si="4"/>
        <v>198.8</v>
      </c>
      <c r="AQ45" s="321">
        <f t="shared" si="5"/>
        <v>44.4</v>
      </c>
      <c r="AR45" s="321" t="s">
        <v>1394</v>
      </c>
      <c r="AS45" s="321">
        <v>18.8</v>
      </c>
      <c r="AT45" s="321">
        <v>44.4</v>
      </c>
      <c r="AV45" s="346">
        <v>330.2</v>
      </c>
      <c r="AW45" s="346">
        <v>33.9</v>
      </c>
      <c r="AX45" s="321" t="s">
        <v>1368</v>
      </c>
      <c r="AY45" s="7" t="s">
        <v>1400</v>
      </c>
      <c r="AZ45" s="7" t="s">
        <v>1373</v>
      </c>
      <c r="BA45" s="66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</row>
    <row r="46" spans="1:106" s="283" customFormat="1">
      <c r="A46" s="319" t="s">
        <v>1404</v>
      </c>
      <c r="B46" s="288" t="s">
        <v>1405</v>
      </c>
      <c r="C46" s="350">
        <v>23.631</v>
      </c>
      <c r="D46" s="289">
        <v>3</v>
      </c>
      <c r="E46" s="290">
        <v>0</v>
      </c>
      <c r="F46" s="290">
        <v>3</v>
      </c>
      <c r="G46" s="290">
        <v>90</v>
      </c>
      <c r="H46" s="291">
        <v>250.4</v>
      </c>
      <c r="I46" s="292">
        <v>57</v>
      </c>
      <c r="J46" s="250">
        <f t="shared" si="0"/>
        <v>70.400000000000006</v>
      </c>
      <c r="K46" s="248">
        <f>154.2</f>
        <v>154.19999999999999</v>
      </c>
      <c r="L46" s="293">
        <v>3.5999999999999997E-2</v>
      </c>
      <c r="M46" s="294">
        <v>1.0246999999999999</v>
      </c>
      <c r="N46" s="295">
        <v>0.99690000000000001</v>
      </c>
      <c r="O46" s="295">
        <v>0.97840000000000005</v>
      </c>
      <c r="P46" s="296">
        <v>1.0469999999999999</v>
      </c>
      <c r="Q46" s="297">
        <v>1.028</v>
      </c>
      <c r="R46" s="297">
        <v>1.0189999999999999</v>
      </c>
      <c r="S46" s="257">
        <v>0.86</v>
      </c>
      <c r="T46" s="257">
        <v>0.99099999999999999</v>
      </c>
      <c r="U46" s="258">
        <v>-0.192</v>
      </c>
      <c r="V46" s="297">
        <f t="shared" si="1"/>
        <v>4.5183956279886699</v>
      </c>
      <c r="W46" s="293">
        <v>-0.20300000000000001</v>
      </c>
      <c r="X46" s="298">
        <v>277</v>
      </c>
      <c r="Y46" s="298">
        <v>9</v>
      </c>
      <c r="Z46" s="299">
        <v>1.3</v>
      </c>
      <c r="AA46" s="299">
        <v>136</v>
      </c>
      <c r="AB46" s="299">
        <v>6</v>
      </c>
      <c r="AC46" s="298">
        <v>11</v>
      </c>
      <c r="AD46" s="298">
        <v>79</v>
      </c>
      <c r="AE46" s="300">
        <v>1</v>
      </c>
      <c r="AF46" s="283">
        <v>170.7</v>
      </c>
      <c r="AG46" s="301">
        <v>-47.5</v>
      </c>
      <c r="AH46" s="301"/>
      <c r="AI46" s="301"/>
      <c r="AJ46" s="301">
        <v>173.5</v>
      </c>
      <c r="AK46" s="283">
        <v>34.4</v>
      </c>
      <c r="AL46" s="302"/>
      <c r="AM46" s="262">
        <f t="shared" si="2"/>
        <v>350.7</v>
      </c>
      <c r="AN46">
        <f t="shared" si="3"/>
        <v>47.5</v>
      </c>
      <c r="AO46" s="283" t="s">
        <v>1368</v>
      </c>
      <c r="AP46" s="262">
        <f t="shared" si="4"/>
        <v>173.5</v>
      </c>
      <c r="AQ46">
        <f t="shared" si="5"/>
        <v>34.4</v>
      </c>
      <c r="AR46" s="7" t="s">
        <v>1372</v>
      </c>
      <c r="AS46" s="7">
        <v>353.5</v>
      </c>
      <c r="AT46" s="7">
        <v>34.4</v>
      </c>
      <c r="AU46" s="7"/>
      <c r="AV46" s="302">
        <v>350.7</v>
      </c>
      <c r="AW46" s="302">
        <v>47.5</v>
      </c>
      <c r="AX46" s="7" t="s">
        <v>1368</v>
      </c>
      <c r="AY46" s="7" t="s">
        <v>103</v>
      </c>
      <c r="AZ46" s="7" t="s">
        <v>1373</v>
      </c>
      <c r="BA46" s="285">
        <f>AVERAGE(AP46:AP48)+90</f>
        <v>265.5</v>
      </c>
      <c r="BB46" s="285">
        <f>90-AVERAGE(AQ46:AQ48)</f>
        <v>56.633333333333333</v>
      </c>
      <c r="BC46" s="286">
        <v>282.39999999999998</v>
      </c>
      <c r="BD46" s="286" t="s">
        <v>1485</v>
      </c>
      <c r="BE46" s="7" t="s">
        <v>1501</v>
      </c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</row>
    <row r="47" spans="1:106" s="283" customFormat="1">
      <c r="A47" s="319" t="s">
        <v>1404</v>
      </c>
      <c r="B47" s="288" t="s">
        <v>1406</v>
      </c>
      <c r="C47" s="350">
        <v>24.062999999999999</v>
      </c>
      <c r="D47" s="289">
        <v>3</v>
      </c>
      <c r="E47" s="290">
        <v>0</v>
      </c>
      <c r="F47" s="290">
        <v>3</v>
      </c>
      <c r="G47" s="290">
        <v>90</v>
      </c>
      <c r="H47" s="291">
        <v>250.4</v>
      </c>
      <c r="I47" s="292">
        <v>57</v>
      </c>
      <c r="J47" s="250">
        <f t="shared" si="0"/>
        <v>70.400000000000006</v>
      </c>
      <c r="K47" s="248">
        <f>176.1</f>
        <v>176.1</v>
      </c>
      <c r="L47" s="293">
        <v>2.7E-2</v>
      </c>
      <c r="M47" s="294">
        <v>1.0221</v>
      </c>
      <c r="N47" s="295">
        <v>0.99470000000000003</v>
      </c>
      <c r="O47" s="295">
        <v>0.98319999999999996</v>
      </c>
      <c r="P47" s="296">
        <v>1.04</v>
      </c>
      <c r="Q47" s="297">
        <v>1.0269999999999999</v>
      </c>
      <c r="R47" s="297">
        <v>1.012</v>
      </c>
      <c r="S47" s="257">
        <v>1.085</v>
      </c>
      <c r="T47" s="257">
        <v>0.98499999999999999</v>
      </c>
      <c r="U47" s="258">
        <v>-0.39900000000000002</v>
      </c>
      <c r="V47" s="297">
        <f t="shared" si="1"/>
        <v>3.8058898346541477</v>
      </c>
      <c r="W47" s="293">
        <v>-0.40699999999999997</v>
      </c>
      <c r="X47" s="298">
        <v>228</v>
      </c>
      <c r="Y47" s="298">
        <v>10</v>
      </c>
      <c r="Z47" s="299">
        <v>1</v>
      </c>
      <c r="AA47" s="299">
        <v>136</v>
      </c>
      <c r="AB47" s="299">
        <v>8</v>
      </c>
      <c r="AC47" s="298">
        <v>8</v>
      </c>
      <c r="AD47" s="298">
        <v>77</v>
      </c>
      <c r="AE47" s="300">
        <v>0.9</v>
      </c>
      <c r="AF47" s="283">
        <v>110</v>
      </c>
      <c r="AG47" s="301">
        <v>-31.3</v>
      </c>
      <c r="AH47" s="301"/>
      <c r="AI47" s="301"/>
      <c r="AJ47" s="301">
        <v>176</v>
      </c>
      <c r="AK47" s="283">
        <v>33.799999999999997</v>
      </c>
      <c r="AL47" s="302"/>
      <c r="AM47" s="262">
        <f t="shared" si="2"/>
        <v>290</v>
      </c>
      <c r="AN47">
        <f t="shared" si="3"/>
        <v>31.3</v>
      </c>
      <c r="AO47" s="283" t="s">
        <v>1368</v>
      </c>
      <c r="AP47" s="262">
        <f t="shared" si="4"/>
        <v>176</v>
      </c>
      <c r="AQ47">
        <f t="shared" si="5"/>
        <v>33.799999999999997</v>
      </c>
      <c r="AR47" s="7" t="s">
        <v>1372</v>
      </c>
      <c r="AS47" s="7">
        <v>356</v>
      </c>
      <c r="AT47" s="7">
        <v>33.799999999999997</v>
      </c>
      <c r="AU47" s="7"/>
      <c r="AV47" s="302">
        <v>290</v>
      </c>
      <c r="AW47" s="302">
        <v>31.3</v>
      </c>
      <c r="AX47" s="7" t="s">
        <v>1368</v>
      </c>
      <c r="AY47" s="7" t="s">
        <v>103</v>
      </c>
      <c r="AZ47" s="7" t="s">
        <v>1373</v>
      </c>
      <c r="BA47" s="66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</row>
    <row r="48" spans="1:106" s="283" customFormat="1">
      <c r="A48" s="319" t="s">
        <v>1404</v>
      </c>
      <c r="B48" s="306" t="s">
        <v>1407</v>
      </c>
      <c r="C48" s="307"/>
      <c r="D48" s="308">
        <v>3</v>
      </c>
      <c r="E48" s="306">
        <v>0</v>
      </c>
      <c r="F48" s="306">
        <v>3</v>
      </c>
      <c r="G48" s="306">
        <v>90</v>
      </c>
      <c r="H48" s="291">
        <v>250.4</v>
      </c>
      <c r="I48" s="292">
        <v>57</v>
      </c>
      <c r="J48" s="250">
        <f t="shared" si="0"/>
        <v>70.400000000000006</v>
      </c>
      <c r="K48" s="320">
        <f>178.6</f>
        <v>178.6</v>
      </c>
      <c r="L48" s="309">
        <v>5.1999999999999998E-2</v>
      </c>
      <c r="M48" s="310">
        <v>1.022</v>
      </c>
      <c r="N48" s="311">
        <v>0.9919</v>
      </c>
      <c r="O48" s="311">
        <v>0.98599999999999999</v>
      </c>
      <c r="P48" s="312">
        <v>1.036</v>
      </c>
      <c r="Q48" s="313">
        <v>1.03</v>
      </c>
      <c r="R48" s="313">
        <v>1.006</v>
      </c>
      <c r="S48" s="273">
        <v>1.4379999999999999</v>
      </c>
      <c r="T48" s="273">
        <v>0.97599999999999998</v>
      </c>
      <c r="U48" s="274">
        <v>-0.66800000000000004</v>
      </c>
      <c r="V48" s="297">
        <f t="shared" si="1"/>
        <v>3.522504892367909</v>
      </c>
      <c r="W48" s="309">
        <v>-0.67300000000000004</v>
      </c>
      <c r="X48" s="314">
        <v>228</v>
      </c>
      <c r="Y48" s="314">
        <v>10</v>
      </c>
      <c r="Z48" s="315">
        <v>1.8</v>
      </c>
      <c r="AA48" s="299">
        <v>136</v>
      </c>
      <c r="AB48" s="299">
        <v>11</v>
      </c>
      <c r="AC48" s="314">
        <v>360</v>
      </c>
      <c r="AD48" s="314">
        <v>76</v>
      </c>
      <c r="AE48" s="316">
        <v>1.8</v>
      </c>
      <c r="AF48" s="283">
        <v>110</v>
      </c>
      <c r="AG48" s="301">
        <v>-31.3</v>
      </c>
      <c r="AH48" s="301"/>
      <c r="AI48" s="301"/>
      <c r="AJ48" s="301">
        <v>177</v>
      </c>
      <c r="AK48" s="283">
        <v>31.9</v>
      </c>
      <c r="AL48" s="302"/>
      <c r="AM48" s="262">
        <f t="shared" si="2"/>
        <v>290</v>
      </c>
      <c r="AN48">
        <f t="shared" si="3"/>
        <v>31.3</v>
      </c>
      <c r="AO48" s="283" t="s">
        <v>1368</v>
      </c>
      <c r="AP48" s="262">
        <f t="shared" si="4"/>
        <v>177</v>
      </c>
      <c r="AQ48">
        <f t="shared" si="5"/>
        <v>31.9</v>
      </c>
      <c r="AR48" s="7" t="s">
        <v>1372</v>
      </c>
      <c r="AS48" s="7">
        <v>357</v>
      </c>
      <c r="AT48" s="7">
        <v>31.9</v>
      </c>
      <c r="AU48" s="7"/>
      <c r="AV48" s="317">
        <v>290</v>
      </c>
      <c r="AW48" s="317">
        <v>31.3</v>
      </c>
      <c r="AX48" s="7" t="s">
        <v>1368</v>
      </c>
      <c r="AY48" s="7" t="s">
        <v>103</v>
      </c>
      <c r="AZ48" s="7" t="s">
        <v>1373</v>
      </c>
      <c r="BA48" s="66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</row>
    <row r="49" spans="1:106" s="283" customFormat="1">
      <c r="A49" s="319" t="s">
        <v>1404</v>
      </c>
      <c r="B49" s="290" t="str">
        <f>[2]AMS_raw!A11</f>
        <v>BB18_1</v>
      </c>
      <c r="C49" s="318"/>
      <c r="D49" s="289"/>
      <c r="E49" s="290"/>
      <c r="F49" s="290"/>
      <c r="G49" s="290"/>
      <c r="H49" s="247">
        <v>157</v>
      </c>
      <c r="I49" s="247">
        <v>62</v>
      </c>
      <c r="J49" s="250"/>
      <c r="K49" s="279">
        <f>[2]AMS_raw!G11</f>
        <v>403.2</v>
      </c>
      <c r="L49" s="256">
        <f>[2]AMS_raw!H11</f>
        <v>8.4000000000000005E-2</v>
      </c>
      <c r="M49" s="247">
        <f>[2]AMS_raw!M11</f>
        <v>1.0194000000000001</v>
      </c>
      <c r="N49" s="247">
        <f>[2]AMS_raw!N11</f>
        <v>1.0056</v>
      </c>
      <c r="O49" s="247">
        <f>[2]AMS_raw!O11</f>
        <v>0.97499999999999998</v>
      </c>
      <c r="P49" s="255"/>
      <c r="Q49" s="256"/>
      <c r="R49" s="256"/>
      <c r="S49" s="280">
        <f>[2]AMS_raw!S11</f>
        <v>0.36699999999999999</v>
      </c>
      <c r="T49" s="280">
        <f>[2]AMS_raw!T11</f>
        <v>1.018</v>
      </c>
      <c r="U49" s="280">
        <f>[2]AMS_raw!U11</f>
        <v>0.39</v>
      </c>
      <c r="V49" s="256">
        <f t="shared" si="1"/>
        <v>4.355503237198362</v>
      </c>
      <c r="W49" s="247">
        <f>[2]AMS_raw!V11</f>
        <v>0.38</v>
      </c>
      <c r="X49" s="247">
        <f>[2]AMS_raw!AM11</f>
        <v>332</v>
      </c>
      <c r="Y49" s="247">
        <f>[2]AMS_raw!AN11</f>
        <v>3</v>
      </c>
      <c r="Z49" s="282"/>
      <c r="AA49" s="282"/>
      <c r="AB49" s="282"/>
      <c r="AC49" s="247">
        <f>[2]AMS_raw!AQ11</f>
        <v>65</v>
      </c>
      <c r="AD49" s="247">
        <f>[2]AMS_raw!AR11</f>
        <v>40</v>
      </c>
      <c r="AE49" s="261"/>
      <c r="AF49" s="247">
        <f>[2]AMS_raw!AD11</f>
        <v>321</v>
      </c>
      <c r="AG49" s="247">
        <f>[2]AMS_raw!AE11</f>
        <v>23</v>
      </c>
      <c r="AH49" s="247">
        <f>[2]AMS_raw!AG11</f>
        <v>228</v>
      </c>
      <c r="AI49" s="247">
        <f>[2]AMS_raw!AH11</f>
        <v>8</v>
      </c>
      <c r="AJ49" s="247">
        <f>[2]AMS_raw!AJ11</f>
        <v>120</v>
      </c>
      <c r="AK49" s="247">
        <f>[2]AMS_raw!AK11</f>
        <v>66</v>
      </c>
      <c r="AL49" s="302"/>
      <c r="AM49" s="262">
        <f t="shared" si="2"/>
        <v>321</v>
      </c>
      <c r="AN49">
        <f t="shared" si="3"/>
        <v>23</v>
      </c>
      <c r="AO49" t="s">
        <v>1343</v>
      </c>
      <c r="AP49" s="262">
        <f t="shared" si="4"/>
        <v>120</v>
      </c>
      <c r="AQ49">
        <f t="shared" si="5"/>
        <v>66</v>
      </c>
      <c r="AR49" s="7" t="s">
        <v>1345</v>
      </c>
      <c r="AS49" s="7"/>
      <c r="AT49" s="7"/>
      <c r="AU49" s="7"/>
      <c r="AV49" s="302"/>
      <c r="AW49" s="302"/>
      <c r="AX49" s="7"/>
      <c r="AY49" s="7" t="s">
        <v>1400</v>
      </c>
      <c r="AZ49" s="53" t="s">
        <v>1408</v>
      </c>
      <c r="BA49" s="129">
        <f>AVERAGE(AP49:AP50)+90</f>
        <v>206.5</v>
      </c>
      <c r="BB49" s="129">
        <f>90-AVERAGE(AQ49:AQ50)</f>
        <v>24</v>
      </c>
      <c r="BC49" s="7">
        <v>282.39999999999998</v>
      </c>
      <c r="BD49" s="7" t="s">
        <v>1485</v>
      </c>
      <c r="BE49" s="7" t="s">
        <v>1501</v>
      </c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</row>
    <row r="50" spans="1:106" s="283" customFormat="1">
      <c r="A50" s="319" t="s">
        <v>1404</v>
      </c>
      <c r="B50" s="290" t="str">
        <f>[2]AMS_raw!A12</f>
        <v>BB18_2</v>
      </c>
      <c r="C50" s="318"/>
      <c r="D50" s="289"/>
      <c r="E50" s="290"/>
      <c r="F50" s="290"/>
      <c r="G50" s="290"/>
      <c r="H50" s="247">
        <v>157</v>
      </c>
      <c r="I50" s="247">
        <v>62</v>
      </c>
      <c r="J50" s="250"/>
      <c r="K50" s="279">
        <f>[2]AMS_raw!G12</f>
        <v>392.9</v>
      </c>
      <c r="L50" s="256">
        <f>[2]AMS_raw!H12</f>
        <v>7.9000000000000001E-2</v>
      </c>
      <c r="M50" s="247">
        <f>[2]AMS_raw!M12</f>
        <v>1.0164</v>
      </c>
      <c r="N50" s="247">
        <f>[2]AMS_raw!N12</f>
        <v>1.0105999999999999</v>
      </c>
      <c r="O50" s="247">
        <f>[2]AMS_raw!O12</f>
        <v>0.97299999999999998</v>
      </c>
      <c r="P50" s="255"/>
      <c r="Q50" s="256"/>
      <c r="R50" s="256"/>
      <c r="S50" s="280">
        <f>[2]AMS_raw!S12</f>
        <v>0.14299999999999999</v>
      </c>
      <c r="T50" s="280">
        <f>[2]AMS_raw!T12</f>
        <v>1.0329999999999999</v>
      </c>
      <c r="U50" s="280">
        <f>[2]AMS_raw!U12</f>
        <v>0.73799999999999999</v>
      </c>
      <c r="V50" s="256">
        <f t="shared" si="1"/>
        <v>4.2699724517906334</v>
      </c>
      <c r="W50" s="247">
        <f>[2]AMS_raw!V12</f>
        <v>0.73299999999999998</v>
      </c>
      <c r="X50" s="247">
        <f>[2]AMS_raw!AM12</f>
        <v>193</v>
      </c>
      <c r="Y50" s="247">
        <f>[2]AMS_raw!AN12</f>
        <v>32</v>
      </c>
      <c r="Z50" s="282"/>
      <c r="AA50" s="282"/>
      <c r="AB50" s="282"/>
      <c r="AC50" s="247">
        <f>[2]AMS_raw!AQ12</f>
        <v>66</v>
      </c>
      <c r="AD50" s="247">
        <f>[2]AMS_raw!AR12</f>
        <v>43</v>
      </c>
      <c r="AE50" s="261"/>
      <c r="AF50" s="247">
        <f>[2]AMS_raw!AD12</f>
        <v>12</v>
      </c>
      <c r="AG50" s="247">
        <f>[2]AMS_raw!AE12</f>
        <v>5</v>
      </c>
      <c r="AH50" s="247">
        <f>[2]AMS_raw!AG12</f>
        <v>279</v>
      </c>
      <c r="AI50" s="247">
        <f>[2]AMS_raw!AH12</f>
        <v>24</v>
      </c>
      <c r="AJ50" s="247">
        <f>[2]AMS_raw!AJ12</f>
        <v>113</v>
      </c>
      <c r="AK50" s="247">
        <f>[2]AMS_raw!AK12</f>
        <v>66</v>
      </c>
      <c r="AL50" s="302"/>
      <c r="AM50" s="262">
        <f t="shared" si="2"/>
        <v>12</v>
      </c>
      <c r="AN50">
        <f t="shared" si="3"/>
        <v>5</v>
      </c>
      <c r="AO50" t="s">
        <v>1343</v>
      </c>
      <c r="AP50" s="262">
        <f t="shared" si="4"/>
        <v>113</v>
      </c>
      <c r="AQ50">
        <f t="shared" si="5"/>
        <v>66</v>
      </c>
      <c r="AR50" s="7" t="s">
        <v>1345</v>
      </c>
      <c r="AS50" s="7"/>
      <c r="AT50" s="7"/>
      <c r="AU50" s="7"/>
      <c r="AV50" s="302"/>
      <c r="AW50" s="302"/>
      <c r="AX50" s="7"/>
      <c r="AY50" s="7" t="s">
        <v>1400</v>
      </c>
      <c r="AZ50" s="53" t="s">
        <v>1408</v>
      </c>
      <c r="BA50" s="66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</row>
    <row r="51" spans="1:106" s="359" customFormat="1">
      <c r="A51" s="351" t="s">
        <v>1404</v>
      </c>
      <c r="B51" s="306" t="str">
        <f>[2]AMS_raw!A13</f>
        <v>BB18_3</v>
      </c>
      <c r="C51" s="307"/>
      <c r="D51" s="308"/>
      <c r="E51" s="306"/>
      <c r="F51" s="306"/>
      <c r="G51" s="306"/>
      <c r="H51" s="264">
        <v>157</v>
      </c>
      <c r="I51" s="264">
        <v>62</v>
      </c>
      <c r="J51" s="352"/>
      <c r="K51" s="353">
        <f>[2]AMS_raw!G13</f>
        <v>380.1</v>
      </c>
      <c r="L51" s="272">
        <f>[2]AMS_raw!H13</f>
        <v>6.0999999999999999E-2</v>
      </c>
      <c r="M51" s="264">
        <f>[2]AMS_raw!M13</f>
        <v>1.016</v>
      </c>
      <c r="N51" s="264">
        <f>[2]AMS_raw!N13</f>
        <v>1.0119</v>
      </c>
      <c r="O51" s="264">
        <f>[2]AMS_raw!O13</f>
        <v>0.97209999999999996</v>
      </c>
      <c r="P51" s="271"/>
      <c r="Q51" s="272"/>
      <c r="R51" s="272"/>
      <c r="S51" s="354">
        <f>[2]AMS_raw!S13</f>
        <v>9.8000000000000004E-2</v>
      </c>
      <c r="T51" s="354">
        <f>[2]AMS_raw!T13</f>
        <v>1.0369999999999999</v>
      </c>
      <c r="U51" s="354">
        <f>[2]AMS_raw!U13</f>
        <v>0.81699999999999995</v>
      </c>
      <c r="V51" s="272">
        <f t="shared" si="1"/>
        <v>4.3208661417322887</v>
      </c>
      <c r="W51" s="264">
        <f>[2]AMS_raw!V13</f>
        <v>0.81299999999999994</v>
      </c>
      <c r="X51" s="264">
        <f>[2]AMS_raw!AM13</f>
        <v>204</v>
      </c>
      <c r="Y51" s="264">
        <f>[2]AMS_raw!AN13</f>
        <v>1</v>
      </c>
      <c r="Z51" s="276"/>
      <c r="AA51" s="276"/>
      <c r="AB51" s="276"/>
      <c r="AC51" s="264">
        <f>[2]AMS_raw!AQ13</f>
        <v>113</v>
      </c>
      <c r="AD51" s="264">
        <f>[2]AMS_raw!AR13</f>
        <v>45</v>
      </c>
      <c r="AE51" s="277"/>
      <c r="AF51" s="264">
        <f>[2]AMS_raw!AD13</f>
        <v>170</v>
      </c>
      <c r="AG51" s="264">
        <f>[2]AMS_raw!AE13</f>
        <v>21</v>
      </c>
      <c r="AH51" s="247">
        <f>[2]AMS_raw!AG13</f>
        <v>265</v>
      </c>
      <c r="AI51" s="247">
        <f>[2]AMS_raw!AH13</f>
        <v>13</v>
      </c>
      <c r="AJ51" s="264">
        <f>[2]AMS_raw!AJ13</f>
        <v>26</v>
      </c>
      <c r="AK51" s="264">
        <f>[2]AMS_raw!AK13</f>
        <v>65</v>
      </c>
      <c r="AL51" s="317"/>
      <c r="AM51" s="355">
        <f t="shared" si="2"/>
        <v>170</v>
      </c>
      <c r="AN51" s="356">
        <f t="shared" si="3"/>
        <v>21</v>
      </c>
      <c r="AO51" s="356" t="s">
        <v>1343</v>
      </c>
      <c r="AP51" s="355">
        <f t="shared" si="4"/>
        <v>26</v>
      </c>
      <c r="AQ51" s="356">
        <f t="shared" si="5"/>
        <v>65</v>
      </c>
      <c r="AR51" s="357" t="s">
        <v>1345</v>
      </c>
      <c r="AS51" s="357"/>
      <c r="AT51" s="357"/>
      <c r="AU51" s="357"/>
      <c r="AV51" s="317"/>
      <c r="AW51" s="317"/>
      <c r="AX51" s="357"/>
      <c r="AY51" s="357" t="s">
        <v>1400</v>
      </c>
      <c r="AZ51" s="357" t="s">
        <v>1381</v>
      </c>
      <c r="BA51" s="358"/>
      <c r="BB51" s="357"/>
      <c r="BC51" s="357"/>
      <c r="BD51" s="357"/>
      <c r="BE51" s="357"/>
      <c r="BF51" s="357"/>
      <c r="BG51" s="357"/>
      <c r="BH51" s="357"/>
      <c r="BI51" s="357"/>
      <c r="BJ51" s="357"/>
      <c r="BK51" s="357"/>
      <c r="BL51" s="357"/>
      <c r="BM51" s="357"/>
      <c r="BN51" s="357"/>
      <c r="BO51" s="357"/>
      <c r="BP51" s="357"/>
      <c r="BQ51" s="357"/>
      <c r="BR51" s="357"/>
      <c r="BS51" s="357"/>
      <c r="BT51" s="357"/>
      <c r="BU51" s="357"/>
      <c r="BV51" s="357"/>
      <c r="BW51" s="357"/>
      <c r="BX51" s="357"/>
      <c r="BY51" s="357"/>
      <c r="BZ51" s="357"/>
      <c r="CA51" s="357"/>
      <c r="CB51" s="357"/>
      <c r="CC51" s="357"/>
      <c r="CD51" s="357"/>
      <c r="CE51" s="357"/>
      <c r="CF51" s="357"/>
      <c r="CG51" s="357"/>
      <c r="CH51" s="357"/>
      <c r="CI51" s="357"/>
      <c r="CJ51" s="357"/>
      <c r="CK51" s="357"/>
      <c r="CL51" s="357"/>
      <c r="CM51" s="357"/>
      <c r="CN51" s="357"/>
      <c r="CO51" s="357"/>
      <c r="CP51" s="357"/>
      <c r="CQ51" s="357"/>
      <c r="CR51" s="357"/>
      <c r="CS51" s="357"/>
      <c r="CT51" s="357"/>
      <c r="CU51" s="357"/>
      <c r="CV51" s="357"/>
      <c r="CW51" s="357"/>
      <c r="CX51" s="357"/>
      <c r="CY51" s="357"/>
      <c r="CZ51" s="357"/>
      <c r="DA51" s="357"/>
      <c r="DB51" s="357"/>
    </row>
    <row r="52" spans="1:106" s="283" customFormat="1">
      <c r="A52" s="319" t="s">
        <v>1404</v>
      </c>
      <c r="B52" s="290" t="str">
        <f>[2]AMS_raw!A14</f>
        <v>BB19_2</v>
      </c>
      <c r="C52" s="318"/>
      <c r="D52" s="289"/>
      <c r="E52" s="290"/>
      <c r="F52" s="290"/>
      <c r="G52" s="290"/>
      <c r="H52" s="247">
        <v>181</v>
      </c>
      <c r="I52" s="247">
        <v>59</v>
      </c>
      <c r="J52" s="250"/>
      <c r="K52" s="284">
        <f>[2]AMS_raw!G14</f>
        <v>277.3</v>
      </c>
      <c r="L52" s="256">
        <f>[2]AMS_raw!H14</f>
        <v>3.5000000000000003E-2</v>
      </c>
      <c r="M52" s="247">
        <f>[2]AMS_raw!M14</f>
        <v>1.0458000000000001</v>
      </c>
      <c r="N52" s="247">
        <f>[2]AMS_raw!N14</f>
        <v>0.98880000000000001</v>
      </c>
      <c r="O52" s="247">
        <f>[2]AMS_raw!O14</f>
        <v>0.96540000000000004</v>
      </c>
      <c r="P52" s="255"/>
      <c r="Q52" s="256"/>
      <c r="R52" s="256"/>
      <c r="S52" s="280">
        <f>[2]AMS_raw!S14</f>
        <v>1.099</v>
      </c>
      <c r="T52" s="280">
        <f>[2]AMS_raw!T14</f>
        <v>0.96799999999999997</v>
      </c>
      <c r="U52" s="281">
        <f>[2]AMS_raw!U14</f>
        <v>-0.40200000000000002</v>
      </c>
      <c r="V52" s="256">
        <f t="shared" si="1"/>
        <v>7.6878944348823888</v>
      </c>
      <c r="W52" s="247">
        <f>[2]AMS_raw!V14</f>
        <v>-0.41899999999999998</v>
      </c>
      <c r="X52" s="247">
        <f>[2]AMS_raw!AM14</f>
        <v>311</v>
      </c>
      <c r="Y52" s="247">
        <f>[2]AMS_raw!AN14</f>
        <v>29</v>
      </c>
      <c r="Z52" s="282"/>
      <c r="AA52" s="282"/>
      <c r="AB52" s="282"/>
      <c r="AC52" s="247">
        <f>[2]AMS_raw!AQ14</f>
        <v>73</v>
      </c>
      <c r="AD52" s="247">
        <f>[2]AMS_raw!AR14</f>
        <v>44</v>
      </c>
      <c r="AE52" s="261"/>
      <c r="AF52" s="247">
        <f>[2]AMS_raw!AD14</f>
        <v>308</v>
      </c>
      <c r="AG52" s="247">
        <f>[2]AMS_raw!AE14</f>
        <v>19</v>
      </c>
      <c r="AH52" s="247">
        <f>[2]AMS_raw!AG14</f>
        <v>39</v>
      </c>
      <c r="AI52" s="247">
        <f>[2]AMS_raw!AH14</f>
        <v>2</v>
      </c>
      <c r="AJ52" s="247">
        <f>[2]AMS_raw!AJ14</f>
        <v>134</v>
      </c>
      <c r="AK52" s="247">
        <f>[2]AMS_raw!AK14</f>
        <v>71</v>
      </c>
      <c r="AL52" s="302"/>
      <c r="AM52" s="262">
        <f t="shared" si="2"/>
        <v>308</v>
      </c>
      <c r="AN52">
        <f t="shared" si="3"/>
        <v>19</v>
      </c>
      <c r="AO52" s="283" t="s">
        <v>1368</v>
      </c>
      <c r="AP52" s="262">
        <f t="shared" si="4"/>
        <v>134</v>
      </c>
      <c r="AQ52">
        <f t="shared" si="5"/>
        <v>71</v>
      </c>
      <c r="AR52" s="7" t="s">
        <v>1372</v>
      </c>
      <c r="AS52" s="7"/>
      <c r="AT52" s="7"/>
      <c r="AU52" s="7"/>
      <c r="AV52" s="302"/>
      <c r="AW52" s="302"/>
      <c r="AX52" s="7"/>
      <c r="AY52" s="7" t="s">
        <v>103</v>
      </c>
      <c r="AZ52" s="53" t="s">
        <v>1408</v>
      </c>
      <c r="BA52" s="129">
        <f>AVERAGE(AP52:AP54)+90</f>
        <v>217.66666666666669</v>
      </c>
      <c r="BB52" s="129">
        <f>90-AVERAGE(AQ52:AQ54)</f>
        <v>20.666666666666671</v>
      </c>
      <c r="BC52" s="7">
        <v>282.39999999999998</v>
      </c>
      <c r="BD52" s="7" t="s">
        <v>1485</v>
      </c>
      <c r="BE52" s="7" t="s">
        <v>1501</v>
      </c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</row>
    <row r="53" spans="1:106" s="283" customFormat="1">
      <c r="A53" s="319" t="s">
        <v>1404</v>
      </c>
      <c r="B53" s="290" t="str">
        <f>[2]AMS_raw!A15</f>
        <v>BB19_3</v>
      </c>
      <c r="C53" s="318"/>
      <c r="D53" s="289"/>
      <c r="E53" s="290"/>
      <c r="F53" s="290"/>
      <c r="G53" s="290"/>
      <c r="H53" s="247">
        <v>181</v>
      </c>
      <c r="I53" s="247">
        <v>59</v>
      </c>
      <c r="J53" s="250"/>
      <c r="K53" s="284">
        <f>[2]AMS_raw!G15</f>
        <v>246.7</v>
      </c>
      <c r="L53" s="256">
        <f>[2]AMS_raw!H15</f>
        <v>0.16800000000000001</v>
      </c>
      <c r="M53" s="247">
        <f>[2]AMS_raw!M15</f>
        <v>1.0465</v>
      </c>
      <c r="N53" s="247">
        <f>[2]AMS_raw!N15</f>
        <v>0.98680000000000001</v>
      </c>
      <c r="O53" s="247">
        <f>[2]AMS_raw!O15</f>
        <v>0.9667</v>
      </c>
      <c r="P53" s="255"/>
      <c r="Q53" s="256"/>
      <c r="R53" s="256"/>
      <c r="S53" s="280">
        <f>[2]AMS_raw!S15</f>
        <v>1.194</v>
      </c>
      <c r="T53" s="280">
        <f>[2]AMS_raw!T15</f>
        <v>0.96299999999999997</v>
      </c>
      <c r="U53" s="281">
        <f>[2]AMS_raw!U15</f>
        <v>-0.48</v>
      </c>
      <c r="V53" s="256">
        <f t="shared" si="1"/>
        <v>7.6254180602006674</v>
      </c>
      <c r="W53" s="247">
        <f>[2]AMS_raw!V15</f>
        <v>-0.495</v>
      </c>
      <c r="X53" s="247">
        <f>[2]AMS_raw!AM15</f>
        <v>309</v>
      </c>
      <c r="Y53" s="247">
        <f>[2]AMS_raw!AN15</f>
        <v>29</v>
      </c>
      <c r="Z53" s="282"/>
      <c r="AA53" s="282"/>
      <c r="AB53" s="282"/>
      <c r="AC53" s="247">
        <f>[2]AMS_raw!AQ15</f>
        <v>75</v>
      </c>
      <c r="AD53" s="247">
        <f>[2]AMS_raw!AR15</f>
        <v>47</v>
      </c>
      <c r="AE53" s="261"/>
      <c r="AF53" s="247">
        <f>[2]AMS_raw!AD15</f>
        <v>308</v>
      </c>
      <c r="AG53" s="247">
        <f>[2]AMS_raw!AE15</f>
        <v>19</v>
      </c>
      <c r="AH53" s="247">
        <f>[2]AMS_raw!AG15</f>
        <v>217</v>
      </c>
      <c r="AI53" s="247">
        <f>[2]AMS_raw!AH15</f>
        <v>1</v>
      </c>
      <c r="AJ53" s="247">
        <f>[2]AMS_raw!AJ15</f>
        <v>124</v>
      </c>
      <c r="AK53" s="247">
        <f>[2]AMS_raw!AK15</f>
        <v>70</v>
      </c>
      <c r="AL53" s="302"/>
      <c r="AM53" s="262">
        <f t="shared" si="2"/>
        <v>308</v>
      </c>
      <c r="AN53">
        <f t="shared" si="3"/>
        <v>19</v>
      </c>
      <c r="AO53" s="283" t="s">
        <v>1368</v>
      </c>
      <c r="AP53" s="262">
        <f t="shared" si="4"/>
        <v>124</v>
      </c>
      <c r="AQ53">
        <f t="shared" si="5"/>
        <v>70</v>
      </c>
      <c r="AR53" s="7" t="s">
        <v>1372</v>
      </c>
      <c r="AS53" s="7"/>
      <c r="AT53" s="7"/>
      <c r="AU53" s="7"/>
      <c r="AV53" s="302"/>
      <c r="AW53" s="302"/>
      <c r="AX53" s="7"/>
      <c r="AY53" s="7" t="s">
        <v>103</v>
      </c>
      <c r="AZ53" s="53" t="s">
        <v>1408</v>
      </c>
      <c r="BA53" s="66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</row>
    <row r="54" spans="1:106" s="359" customFormat="1">
      <c r="A54" s="351" t="s">
        <v>1404</v>
      </c>
      <c r="B54" s="306" t="str">
        <f>[2]AMS_raw!A16</f>
        <v>BB19_4</v>
      </c>
      <c r="C54" s="307"/>
      <c r="D54" s="308"/>
      <c r="E54" s="306"/>
      <c r="F54" s="306"/>
      <c r="G54" s="306"/>
      <c r="H54" s="264">
        <v>181</v>
      </c>
      <c r="I54" s="264">
        <v>59</v>
      </c>
      <c r="J54" s="352"/>
      <c r="K54" s="360">
        <f>[2]AMS_raw!G16</f>
        <v>231.5</v>
      </c>
      <c r="L54" s="272">
        <f>[2]AMS_raw!H16</f>
        <v>0.18</v>
      </c>
      <c r="M54" s="264">
        <f>[2]AMS_raw!M16</f>
        <v>1.0451999999999999</v>
      </c>
      <c r="N54" s="264">
        <f>[2]AMS_raw!N16</f>
        <v>0.98560000000000003</v>
      </c>
      <c r="O54" s="264">
        <f>[2]AMS_raw!O16</f>
        <v>0.96919999999999995</v>
      </c>
      <c r="P54" s="271"/>
      <c r="Q54" s="272"/>
      <c r="R54" s="272"/>
      <c r="S54" s="354">
        <f>[2]AMS_raw!S16</f>
        <v>1.292</v>
      </c>
      <c r="T54" s="354">
        <f>[2]AMS_raw!T16</f>
        <v>0.95899999999999996</v>
      </c>
      <c r="U54" s="361">
        <f>[2]AMS_raw!U16</f>
        <v>-0.55700000000000005</v>
      </c>
      <c r="V54" s="272">
        <f t="shared" si="1"/>
        <v>7.2713356295445815</v>
      </c>
      <c r="W54" s="264">
        <f>[2]AMS_raw!V16</f>
        <v>-0.56999999999999995</v>
      </c>
      <c r="X54" s="264">
        <f>[2]AMS_raw!AM16</f>
        <v>308</v>
      </c>
      <c r="Y54" s="264">
        <f>[2]AMS_raw!AN16</f>
        <v>25</v>
      </c>
      <c r="Z54" s="276"/>
      <c r="AA54" s="276"/>
      <c r="AB54" s="276"/>
      <c r="AC54" s="264">
        <f>[2]AMS_raw!AQ16</f>
        <v>70</v>
      </c>
      <c r="AD54" s="264">
        <f>[2]AMS_raw!AR16</f>
        <v>49</v>
      </c>
      <c r="AE54" s="277"/>
      <c r="AF54" s="264">
        <f>[2]AMS_raw!AD16</f>
        <v>309</v>
      </c>
      <c r="AG54" s="264">
        <f>[2]AMS_raw!AE16</f>
        <v>23</v>
      </c>
      <c r="AH54" s="247">
        <f>[2]AMS_raw!AG16</f>
        <v>219</v>
      </c>
      <c r="AI54" s="247">
        <f>[2]AMS_raw!AH16</f>
        <v>2</v>
      </c>
      <c r="AJ54" s="264">
        <f>[2]AMS_raw!AJ16</f>
        <v>125</v>
      </c>
      <c r="AK54" s="264">
        <f>[2]AMS_raw!AK16</f>
        <v>67</v>
      </c>
      <c r="AL54" s="317"/>
      <c r="AM54" s="355">
        <f t="shared" si="2"/>
        <v>309</v>
      </c>
      <c r="AN54" s="356">
        <f t="shared" si="3"/>
        <v>23</v>
      </c>
      <c r="AO54" s="359" t="s">
        <v>1368</v>
      </c>
      <c r="AP54" s="355">
        <f t="shared" si="4"/>
        <v>125</v>
      </c>
      <c r="AQ54" s="356">
        <f t="shared" si="5"/>
        <v>67</v>
      </c>
      <c r="AR54" s="357" t="s">
        <v>1372</v>
      </c>
      <c r="AS54" s="357"/>
      <c r="AT54" s="357"/>
      <c r="AU54" s="357"/>
      <c r="AV54" s="317"/>
      <c r="AW54" s="317"/>
      <c r="AX54" s="357"/>
      <c r="AY54" s="357" t="s">
        <v>103</v>
      </c>
      <c r="AZ54" s="53" t="s">
        <v>1408</v>
      </c>
      <c r="BA54" s="358"/>
      <c r="BB54" s="357"/>
      <c r="BC54" s="357"/>
      <c r="BD54" s="357"/>
      <c r="BE54" s="357"/>
      <c r="BF54" s="357"/>
      <c r="BG54" s="357"/>
      <c r="BH54" s="357"/>
      <c r="BI54" s="357"/>
      <c r="BJ54" s="357"/>
      <c r="BK54" s="357"/>
      <c r="BL54" s="357"/>
      <c r="BM54" s="357"/>
      <c r="BN54" s="357"/>
      <c r="BO54" s="357"/>
      <c r="BP54" s="357"/>
      <c r="BQ54" s="357"/>
      <c r="BR54" s="357"/>
      <c r="BS54" s="357"/>
      <c r="BT54" s="357"/>
      <c r="BU54" s="357"/>
      <c r="BV54" s="357"/>
      <c r="BW54" s="357"/>
      <c r="BX54" s="357"/>
      <c r="BY54" s="357"/>
      <c r="BZ54" s="357"/>
      <c r="CA54" s="357"/>
      <c r="CB54" s="357"/>
      <c r="CC54" s="357"/>
      <c r="CD54" s="357"/>
      <c r="CE54" s="357"/>
      <c r="CF54" s="357"/>
      <c r="CG54" s="357"/>
      <c r="CH54" s="357"/>
      <c r="CI54" s="357"/>
      <c r="CJ54" s="357"/>
      <c r="CK54" s="357"/>
      <c r="CL54" s="357"/>
      <c r="CM54" s="357"/>
      <c r="CN54" s="357"/>
      <c r="CO54" s="357"/>
      <c r="CP54" s="357"/>
      <c r="CQ54" s="357"/>
      <c r="CR54" s="357"/>
      <c r="CS54" s="357"/>
      <c r="CT54" s="357"/>
      <c r="CU54" s="357"/>
      <c r="CV54" s="357"/>
      <c r="CW54" s="357"/>
      <c r="CX54" s="357"/>
      <c r="CY54" s="357"/>
      <c r="CZ54" s="357"/>
      <c r="DA54" s="357"/>
      <c r="DB54" s="357"/>
    </row>
    <row r="55" spans="1:106" s="283" customFormat="1">
      <c r="A55" s="319" t="s">
        <v>1404</v>
      </c>
      <c r="B55" s="290" t="str">
        <f>[2]AMS_raw!A17</f>
        <v>BB20_2</v>
      </c>
      <c r="C55" s="318"/>
      <c r="D55" s="289"/>
      <c r="E55" s="290"/>
      <c r="F55" s="290"/>
      <c r="G55" s="290"/>
      <c r="H55" s="247">
        <v>340</v>
      </c>
      <c r="I55" s="247">
        <v>18</v>
      </c>
      <c r="J55" s="250"/>
      <c r="K55" s="279">
        <f>[2]AMS_raw!G17</f>
        <v>346.2</v>
      </c>
      <c r="L55" s="256">
        <f>[2]AMS_raw!H17</f>
        <v>4.3999999999999997E-2</v>
      </c>
      <c r="M55" s="247">
        <f>[2]AMS_raw!M17</f>
        <v>1.0448</v>
      </c>
      <c r="N55" s="247">
        <f>[2]AMS_raw!N17</f>
        <v>1.0023</v>
      </c>
      <c r="O55" s="247">
        <f>[2]AMS_raw!O17</f>
        <v>0.95289999999999997</v>
      </c>
      <c r="P55" s="255"/>
      <c r="Q55" s="256"/>
      <c r="R55" s="256"/>
      <c r="S55" s="280">
        <f>[2]AMS_raw!S17</f>
        <v>0.60199999999999998</v>
      </c>
      <c r="T55" s="280">
        <f>[2]AMS_raw!T17</f>
        <v>1.0089999999999999</v>
      </c>
      <c r="U55" s="280">
        <f>[2]AMS_raw!U17</f>
        <v>9.7000000000000003E-2</v>
      </c>
      <c r="V55" s="256">
        <f t="shared" si="1"/>
        <v>8.7959418070444091</v>
      </c>
      <c r="W55" s="247">
        <f>[2]AMS_raw!V17</f>
        <v>7.3999999999999996E-2</v>
      </c>
      <c r="X55" s="247">
        <f>[2]AMS_raw!AM17</f>
        <v>243</v>
      </c>
      <c r="Y55" s="247">
        <f>[2]AMS_raw!AN17</f>
        <v>36</v>
      </c>
      <c r="Z55" s="282"/>
      <c r="AA55" s="282"/>
      <c r="AB55" s="282"/>
      <c r="AC55" s="247">
        <f>[2]AMS_raw!AQ17</f>
        <v>4</v>
      </c>
      <c r="AD55" s="247">
        <f>[2]AMS_raw!AR17</f>
        <v>36</v>
      </c>
      <c r="AE55" s="261"/>
      <c r="AF55" s="247">
        <f>[2]AMS_raw!AD17</f>
        <v>227</v>
      </c>
      <c r="AG55" s="247">
        <f>[2]AMS_raw!AE17</f>
        <v>19</v>
      </c>
      <c r="AH55" s="247">
        <f>[2]AMS_raw!AG17</f>
        <v>114</v>
      </c>
      <c r="AI55" s="247">
        <f>[2]AMS_raw!AH17</f>
        <v>48</v>
      </c>
      <c r="AJ55" s="247">
        <f>[2]AMS_raw!AJ17</f>
        <v>332</v>
      </c>
      <c r="AK55" s="247">
        <f>[2]AMS_raw!AK17</f>
        <v>35</v>
      </c>
      <c r="AL55" s="302"/>
      <c r="AM55" s="262">
        <f t="shared" si="2"/>
        <v>227</v>
      </c>
      <c r="AN55">
        <f t="shared" si="3"/>
        <v>19</v>
      </c>
      <c r="AO55" t="s">
        <v>1343</v>
      </c>
      <c r="AP55" s="262">
        <f t="shared" si="4"/>
        <v>332</v>
      </c>
      <c r="AQ55">
        <f t="shared" si="5"/>
        <v>35</v>
      </c>
      <c r="AR55" s="7" t="s">
        <v>1345</v>
      </c>
      <c r="AS55" s="7"/>
      <c r="AT55" s="7"/>
      <c r="AU55" s="7"/>
      <c r="AV55" s="302"/>
      <c r="AW55" s="302"/>
      <c r="AX55" s="7"/>
      <c r="AY55" s="7" t="s">
        <v>1377</v>
      </c>
      <c r="AZ55" s="53" t="s">
        <v>1409</v>
      </c>
      <c r="BA55" s="129">
        <f>AVERAGE(AP55:AP57)+90-360</f>
        <v>63.666666666666686</v>
      </c>
      <c r="BB55" s="129">
        <f>90-AVERAGE(AQ55:AQ57)</f>
        <v>50.333333333333336</v>
      </c>
      <c r="BC55" s="7">
        <v>282.39999999999998</v>
      </c>
      <c r="BD55" s="7" t="s">
        <v>1485</v>
      </c>
      <c r="BE55" s="7" t="s">
        <v>1501</v>
      </c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</row>
    <row r="56" spans="1:106" s="283" customFormat="1">
      <c r="A56" s="319" t="s">
        <v>1404</v>
      </c>
      <c r="B56" s="290" t="str">
        <f>[2]AMS_raw!A18</f>
        <v>BB20_3</v>
      </c>
      <c r="C56" s="318"/>
      <c r="D56" s="289"/>
      <c r="E56" s="290"/>
      <c r="F56" s="290"/>
      <c r="G56" s="290"/>
      <c r="H56" s="247">
        <v>340</v>
      </c>
      <c r="I56" s="247">
        <v>18</v>
      </c>
      <c r="J56" s="250"/>
      <c r="K56" s="279">
        <f>[2]AMS_raw!G18</f>
        <v>351.2</v>
      </c>
      <c r="L56" s="256">
        <f>[2]AMS_raw!H18</f>
        <v>2.4E-2</v>
      </c>
      <c r="M56" s="247">
        <f>[2]AMS_raw!M18</f>
        <v>1.0430999999999999</v>
      </c>
      <c r="N56" s="247">
        <f>[2]AMS_raw!N18</f>
        <v>1.0044999999999999</v>
      </c>
      <c r="O56" s="247">
        <f>[2]AMS_raw!O18</f>
        <v>0.95240000000000002</v>
      </c>
      <c r="P56" s="255"/>
      <c r="Q56" s="256"/>
      <c r="R56" s="256"/>
      <c r="S56" s="280">
        <f>[2]AMS_raw!S18</f>
        <v>0.54100000000000004</v>
      </c>
      <c r="T56" s="280">
        <f>[2]AMS_raw!T18</f>
        <v>1.016</v>
      </c>
      <c r="U56" s="280">
        <f>[2]AMS_raw!U18</f>
        <v>0.17</v>
      </c>
      <c r="V56" s="256">
        <f t="shared" si="1"/>
        <v>8.6952353561499276</v>
      </c>
      <c r="W56" s="247">
        <f>[2]AMS_raw!V18</f>
        <v>0.14799999999999999</v>
      </c>
      <c r="X56" s="247">
        <f>[2]AMS_raw!AM18</f>
        <v>240</v>
      </c>
      <c r="Y56" s="247">
        <f>[2]AMS_raw!AN18</f>
        <v>35</v>
      </c>
      <c r="Z56" s="282"/>
      <c r="AA56" s="282"/>
      <c r="AB56" s="282"/>
      <c r="AC56" s="247">
        <f>[2]AMS_raw!AQ18</f>
        <v>11</v>
      </c>
      <c r="AD56" s="247">
        <f>[2]AMS_raw!AR18</f>
        <v>43</v>
      </c>
      <c r="AE56" s="261"/>
      <c r="AF56" s="247">
        <f>[2]AMS_raw!AD18</f>
        <v>224</v>
      </c>
      <c r="AG56" s="247">
        <f>[2]AMS_raw!AE18</f>
        <v>19</v>
      </c>
      <c r="AH56" s="247">
        <f>[2]AMS_raw!AG18</f>
        <v>117</v>
      </c>
      <c r="AI56" s="247">
        <f>[2]AMS_raw!AH18</f>
        <v>40</v>
      </c>
      <c r="AJ56" s="247">
        <f>[2]AMS_raw!AJ18</f>
        <v>334</v>
      </c>
      <c r="AK56" s="247">
        <f>[2]AMS_raw!AK18</f>
        <v>44</v>
      </c>
      <c r="AL56" s="302"/>
      <c r="AM56" s="262">
        <f t="shared" si="2"/>
        <v>224</v>
      </c>
      <c r="AN56">
        <f t="shared" si="3"/>
        <v>19</v>
      </c>
      <c r="AO56" t="s">
        <v>1343</v>
      </c>
      <c r="AP56" s="262">
        <f t="shared" si="4"/>
        <v>334</v>
      </c>
      <c r="AQ56">
        <f t="shared" si="5"/>
        <v>44</v>
      </c>
      <c r="AR56" s="7" t="s">
        <v>1345</v>
      </c>
      <c r="AS56" s="7"/>
      <c r="AT56" s="7"/>
      <c r="AU56" s="7"/>
      <c r="AV56" s="302"/>
      <c r="AW56" s="302"/>
      <c r="AX56" s="7"/>
      <c r="AY56" s="7" t="s">
        <v>1377</v>
      </c>
      <c r="AZ56" s="53" t="s">
        <v>1409</v>
      </c>
      <c r="BA56" s="66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</row>
    <row r="57" spans="1:106" s="359" customFormat="1">
      <c r="A57" s="351" t="s">
        <v>1404</v>
      </c>
      <c r="B57" s="306" t="str">
        <f>[2]AMS_raw!A19</f>
        <v>BB20_4</v>
      </c>
      <c r="C57" s="307"/>
      <c r="D57" s="308"/>
      <c r="E57" s="306"/>
      <c r="F57" s="306"/>
      <c r="G57" s="306"/>
      <c r="H57" s="264">
        <v>340</v>
      </c>
      <c r="I57" s="264">
        <v>18</v>
      </c>
      <c r="J57" s="352"/>
      <c r="K57" s="353">
        <f>[2]AMS_raw!G19</f>
        <v>349.9</v>
      </c>
      <c r="L57" s="272">
        <f>[2]AMS_raw!H19</f>
        <v>6.5000000000000002E-2</v>
      </c>
      <c r="M57" s="264">
        <f>[2]AMS_raw!M19</f>
        <v>1.0439000000000001</v>
      </c>
      <c r="N57" s="264">
        <f>[2]AMS_raw!N19</f>
        <v>1.0025999999999999</v>
      </c>
      <c r="O57" s="264">
        <f>[2]AMS_raw!O19</f>
        <v>0.95350000000000001</v>
      </c>
      <c r="P57" s="271"/>
      <c r="Q57" s="272"/>
      <c r="R57" s="272"/>
      <c r="S57" s="354">
        <f>[2]AMS_raw!S19</f>
        <v>0.59299999999999997</v>
      </c>
      <c r="T57" s="354">
        <f>[2]AMS_raw!T19</f>
        <v>1.01</v>
      </c>
      <c r="U57" s="354">
        <f>[2]AMS_raw!U19</f>
        <v>0.108</v>
      </c>
      <c r="V57" s="272">
        <f t="shared" si="1"/>
        <v>8.6598333173675659</v>
      </c>
      <c r="W57" s="264">
        <f>[2]AMS_raw!V19</f>
        <v>8.5999999999999993E-2</v>
      </c>
      <c r="X57" s="264">
        <f>[2]AMS_raw!AM19</f>
        <v>242</v>
      </c>
      <c r="Y57" s="264">
        <f>[2]AMS_raw!AN19</f>
        <v>37</v>
      </c>
      <c r="Z57" s="276"/>
      <c r="AA57" s="276"/>
      <c r="AB57" s="276"/>
      <c r="AC57" s="264">
        <f>[2]AMS_raw!AQ19</f>
        <v>9</v>
      </c>
      <c r="AD57" s="264">
        <f>[2]AMS_raw!AR19</f>
        <v>39</v>
      </c>
      <c r="AE57" s="277"/>
      <c r="AF57" s="264">
        <f>[2]AMS_raw!AD19</f>
        <v>226</v>
      </c>
      <c r="AG57" s="264">
        <f>[2]AMS_raw!AE19</f>
        <v>20</v>
      </c>
      <c r="AH57" s="247">
        <f>[2]AMS_raw!AG19</f>
        <v>116</v>
      </c>
      <c r="AI57" s="247">
        <f>[2]AMS_raw!AH19</f>
        <v>43</v>
      </c>
      <c r="AJ57" s="264">
        <f>[2]AMS_raw!AJ19</f>
        <v>335</v>
      </c>
      <c r="AK57" s="264">
        <f>[2]AMS_raw!AK19</f>
        <v>40</v>
      </c>
      <c r="AL57" s="317"/>
      <c r="AM57" s="355">
        <f t="shared" si="2"/>
        <v>226</v>
      </c>
      <c r="AN57" s="356">
        <f t="shared" si="3"/>
        <v>20</v>
      </c>
      <c r="AO57" s="356" t="s">
        <v>1343</v>
      </c>
      <c r="AP57" s="355">
        <f t="shared" si="4"/>
        <v>335</v>
      </c>
      <c r="AQ57" s="356">
        <f t="shared" si="5"/>
        <v>40</v>
      </c>
      <c r="AR57" s="357" t="s">
        <v>1345</v>
      </c>
      <c r="AS57" s="357"/>
      <c r="AT57" s="357"/>
      <c r="AU57" s="357"/>
      <c r="AV57" s="317"/>
      <c r="AW57" s="317"/>
      <c r="AX57" s="357"/>
      <c r="AY57" s="357" t="s">
        <v>1377</v>
      </c>
      <c r="AZ57" s="53" t="s">
        <v>1409</v>
      </c>
      <c r="BA57" s="358"/>
      <c r="BB57" s="357"/>
      <c r="BC57" s="357"/>
      <c r="BD57" s="357"/>
      <c r="BE57" s="357"/>
      <c r="BF57" s="357"/>
      <c r="BG57" s="357"/>
      <c r="BH57" s="357"/>
      <c r="BI57" s="357"/>
      <c r="BJ57" s="357"/>
      <c r="BK57" s="357"/>
      <c r="BL57" s="357"/>
      <c r="BM57" s="357"/>
      <c r="BN57" s="357"/>
      <c r="BO57" s="357"/>
      <c r="BP57" s="357"/>
      <c r="BQ57" s="357"/>
      <c r="BR57" s="357"/>
      <c r="BS57" s="357"/>
      <c r="BT57" s="357"/>
      <c r="BU57" s="357"/>
      <c r="BV57" s="357"/>
      <c r="BW57" s="357"/>
      <c r="BX57" s="357"/>
      <c r="BY57" s="357"/>
      <c r="BZ57" s="357"/>
      <c r="CA57" s="357"/>
      <c r="CB57" s="357"/>
      <c r="CC57" s="357"/>
      <c r="CD57" s="357"/>
      <c r="CE57" s="357"/>
      <c r="CF57" s="357"/>
      <c r="CG57" s="357"/>
      <c r="CH57" s="357"/>
      <c r="CI57" s="357"/>
      <c r="CJ57" s="357"/>
      <c r="CK57" s="357"/>
      <c r="CL57" s="357"/>
      <c r="CM57" s="357"/>
      <c r="CN57" s="357"/>
      <c r="CO57" s="357"/>
      <c r="CP57" s="357"/>
      <c r="CQ57" s="357"/>
      <c r="CR57" s="357"/>
      <c r="CS57" s="357"/>
      <c r="CT57" s="357"/>
      <c r="CU57" s="357"/>
      <c r="CV57" s="357"/>
      <c r="CW57" s="357"/>
      <c r="CX57" s="357"/>
      <c r="CY57" s="357"/>
      <c r="CZ57" s="357"/>
      <c r="DA57" s="357"/>
      <c r="DB57" s="357"/>
    </row>
    <row r="58" spans="1:106">
      <c r="A58" s="319" t="s">
        <v>1404</v>
      </c>
      <c r="B58" s="245" t="s">
        <v>1410</v>
      </c>
      <c r="C58" s="362">
        <v>20.571999999999999</v>
      </c>
      <c r="D58" s="246">
        <v>3</v>
      </c>
      <c r="E58" s="247">
        <v>0</v>
      </c>
      <c r="F58" s="247">
        <v>3</v>
      </c>
      <c r="G58" s="247">
        <v>90</v>
      </c>
      <c r="H58" s="248">
        <v>108.4</v>
      </c>
      <c r="I58" s="249">
        <v>52</v>
      </c>
      <c r="J58" s="250">
        <f t="shared" si="0"/>
        <v>288.39999999999998</v>
      </c>
      <c r="K58" s="251">
        <f>341.6</f>
        <v>341.6</v>
      </c>
      <c r="L58" s="252">
        <v>1.6E-2</v>
      </c>
      <c r="M58" s="253">
        <v>1.0208999999999999</v>
      </c>
      <c r="N58" s="254">
        <v>1.0007999999999999</v>
      </c>
      <c r="O58" s="254">
        <v>0.97840000000000005</v>
      </c>
      <c r="P58" s="255">
        <v>1.0429999999999999</v>
      </c>
      <c r="Q58" s="256">
        <v>1.02</v>
      </c>
      <c r="R58" s="256">
        <v>1.0229999999999999</v>
      </c>
      <c r="S58" s="257">
        <v>0.61899999999999999</v>
      </c>
      <c r="T58" s="257">
        <v>1.0029999999999999</v>
      </c>
      <c r="U58" s="257">
        <v>6.5000000000000002E-2</v>
      </c>
      <c r="V58" s="256">
        <f t="shared" si="1"/>
        <v>4.1629934371632755</v>
      </c>
      <c r="W58" s="252">
        <v>5.5E-2</v>
      </c>
      <c r="X58" s="259">
        <v>1</v>
      </c>
      <c r="Y58" s="259">
        <v>1</v>
      </c>
      <c r="Z58" s="260">
        <v>1</v>
      </c>
      <c r="AA58" s="260">
        <v>94</v>
      </c>
      <c r="AB58" s="260">
        <v>71</v>
      </c>
      <c r="AC58" s="259">
        <v>271</v>
      </c>
      <c r="AD58" s="259">
        <v>19</v>
      </c>
      <c r="AE58" s="261">
        <v>0.5</v>
      </c>
      <c r="AF58">
        <v>108.2</v>
      </c>
      <c r="AG58">
        <v>1.4</v>
      </c>
      <c r="AJ58">
        <v>19.5</v>
      </c>
      <c r="AK58">
        <v>-33</v>
      </c>
      <c r="AL58" s="259"/>
      <c r="AM58" s="262">
        <f t="shared" si="2"/>
        <v>108.2</v>
      </c>
      <c r="AN58">
        <f t="shared" si="3"/>
        <v>1.4</v>
      </c>
      <c r="AO58" t="s">
        <v>1343</v>
      </c>
      <c r="AP58" s="262">
        <f t="shared" si="4"/>
        <v>199.5</v>
      </c>
      <c r="AQ58">
        <f t="shared" si="5"/>
        <v>33</v>
      </c>
      <c r="AR58" t="s">
        <v>1356</v>
      </c>
      <c r="AS58">
        <v>199.5</v>
      </c>
      <c r="AT58">
        <v>-33</v>
      </c>
      <c r="AV58" s="259">
        <v>108.2</v>
      </c>
      <c r="AW58" s="259">
        <v>1.4</v>
      </c>
      <c r="AX58" t="s">
        <v>1343</v>
      </c>
      <c r="AY58" s="7" t="s">
        <v>1377</v>
      </c>
      <c r="AZ58" s="53" t="s">
        <v>1373</v>
      </c>
      <c r="BA58" s="285">
        <f>AVERAGE(AP58:AP59)+90</f>
        <v>290.05</v>
      </c>
      <c r="BB58" s="285">
        <f>90-AVERAGE(AQ58:AQ59)</f>
        <v>58</v>
      </c>
      <c r="BC58" s="7">
        <v>282.39999999999998</v>
      </c>
      <c r="BD58" s="7" t="s">
        <v>1485</v>
      </c>
      <c r="BE58" s="7" t="s">
        <v>1501</v>
      </c>
    </row>
    <row r="59" spans="1:106" s="356" customFormat="1">
      <c r="A59" s="351" t="s">
        <v>1404</v>
      </c>
      <c r="B59" s="264" t="s">
        <v>1411</v>
      </c>
      <c r="C59" s="363">
        <v>22.838000000000001</v>
      </c>
      <c r="D59" s="266">
        <v>3</v>
      </c>
      <c r="E59" s="264">
        <v>0</v>
      </c>
      <c r="F59" s="264">
        <v>3</v>
      </c>
      <c r="G59" s="264">
        <v>90</v>
      </c>
      <c r="H59" s="320">
        <v>108.4</v>
      </c>
      <c r="I59" s="364">
        <v>52</v>
      </c>
      <c r="J59" s="352">
        <f t="shared" si="0"/>
        <v>288.39999999999998</v>
      </c>
      <c r="K59" s="267">
        <f>358.1</f>
        <v>358.1</v>
      </c>
      <c r="L59" s="268">
        <v>1.7999999999999999E-2</v>
      </c>
      <c r="M59" s="269">
        <v>1.0212000000000001</v>
      </c>
      <c r="N59" s="270">
        <v>0.99980000000000002</v>
      </c>
      <c r="O59" s="270">
        <v>0.97899999999999998</v>
      </c>
      <c r="P59" s="271">
        <v>1.0429999999999999</v>
      </c>
      <c r="Q59" s="272">
        <v>1.0209999999999999</v>
      </c>
      <c r="R59" s="272">
        <v>1.0209999999999999</v>
      </c>
      <c r="S59" s="273">
        <v>0.68100000000000005</v>
      </c>
      <c r="T59" s="273">
        <v>1</v>
      </c>
      <c r="U59" s="274">
        <v>-6.0000000000000001E-3</v>
      </c>
      <c r="V59" s="272">
        <f t="shared" si="1"/>
        <v>4.1323932628280575</v>
      </c>
      <c r="W59" s="268">
        <v>-1.6E-2</v>
      </c>
      <c r="X59" s="365">
        <v>2</v>
      </c>
      <c r="Y59" s="275">
        <v>1</v>
      </c>
      <c r="Z59" s="276">
        <v>1.1000000000000001</v>
      </c>
      <c r="AA59" s="260">
        <v>94</v>
      </c>
      <c r="AB59" s="260">
        <v>69</v>
      </c>
      <c r="AC59" s="275">
        <v>272</v>
      </c>
      <c r="AD59" s="275">
        <v>21</v>
      </c>
      <c r="AE59" s="277">
        <v>0.5</v>
      </c>
      <c r="AF59" s="356">
        <v>108.8</v>
      </c>
      <c r="AG59" s="356">
        <v>2.2000000000000002</v>
      </c>
      <c r="AJ59" s="356">
        <v>20.6</v>
      </c>
      <c r="AK59" s="356">
        <v>-31</v>
      </c>
      <c r="AL59" s="275"/>
      <c r="AM59" s="355">
        <f t="shared" si="2"/>
        <v>108.8</v>
      </c>
      <c r="AN59" s="356">
        <f t="shared" si="3"/>
        <v>2.2000000000000002</v>
      </c>
      <c r="AO59" s="356" t="s">
        <v>1343</v>
      </c>
      <c r="AP59" s="355">
        <f t="shared" si="4"/>
        <v>200.6</v>
      </c>
      <c r="AQ59" s="356">
        <f t="shared" si="5"/>
        <v>31</v>
      </c>
      <c r="AR59" s="356" t="s">
        <v>1356</v>
      </c>
      <c r="AS59" s="356">
        <v>200.6</v>
      </c>
      <c r="AT59" s="356">
        <v>-31</v>
      </c>
      <c r="AV59" s="365">
        <v>108.8</v>
      </c>
      <c r="AW59" s="275">
        <v>2.2000000000000002</v>
      </c>
      <c r="AX59" s="356" t="s">
        <v>1343</v>
      </c>
      <c r="AY59" s="357" t="s">
        <v>1377</v>
      </c>
      <c r="AZ59" s="53" t="s">
        <v>1373</v>
      </c>
      <c r="BA59" s="366"/>
      <c r="BB59" s="366"/>
      <c r="BC59" s="357"/>
      <c r="BD59" s="357"/>
      <c r="BE59" s="357"/>
      <c r="BF59" s="357"/>
      <c r="BG59" s="357"/>
      <c r="BH59" s="357"/>
      <c r="BI59" s="357"/>
      <c r="BJ59" s="357"/>
      <c r="BK59" s="357"/>
      <c r="BL59" s="357"/>
      <c r="BM59" s="357"/>
      <c r="BN59" s="357"/>
      <c r="BO59" s="357"/>
      <c r="BP59" s="357"/>
      <c r="BQ59" s="357"/>
      <c r="BR59" s="357"/>
      <c r="BS59" s="357"/>
      <c r="BT59" s="357"/>
      <c r="BU59" s="357"/>
      <c r="BV59" s="357"/>
      <c r="BW59" s="357"/>
      <c r="BX59" s="357"/>
      <c r="BY59" s="357"/>
      <c r="BZ59" s="357"/>
      <c r="CA59" s="357"/>
      <c r="CB59" s="357"/>
      <c r="CC59" s="357"/>
      <c r="CD59" s="357"/>
      <c r="CE59" s="357"/>
      <c r="CF59" s="357"/>
      <c r="CG59" s="357"/>
      <c r="CH59" s="357"/>
      <c r="CI59" s="357"/>
      <c r="CJ59" s="357"/>
      <c r="CK59" s="357"/>
      <c r="CL59" s="357"/>
      <c r="CM59" s="357"/>
      <c r="CN59" s="357"/>
      <c r="CO59" s="357"/>
      <c r="CP59" s="357"/>
      <c r="CQ59" s="357"/>
      <c r="CR59" s="357"/>
      <c r="CS59" s="357"/>
      <c r="CT59" s="357"/>
      <c r="CU59" s="357"/>
      <c r="CV59" s="357"/>
      <c r="CW59" s="357"/>
      <c r="CX59" s="357"/>
      <c r="CY59" s="357"/>
      <c r="CZ59" s="357"/>
      <c r="DA59" s="357"/>
      <c r="DB59" s="357"/>
    </row>
    <row r="60" spans="1:106">
      <c r="A60" s="367" t="s">
        <v>1412</v>
      </c>
      <c r="B60" s="247" t="str">
        <f>[2]AMS_raw!A20</f>
        <v>BB30_3</v>
      </c>
      <c r="C60" s="368"/>
      <c r="D60" s="246"/>
      <c r="E60" s="247"/>
      <c r="F60" s="247"/>
      <c r="G60" s="247"/>
      <c r="H60" s="247">
        <v>106</v>
      </c>
      <c r="I60" s="247">
        <v>45</v>
      </c>
      <c r="J60" s="250"/>
      <c r="K60" s="284">
        <f>[2]AMS_raw!G20</f>
        <v>213.6</v>
      </c>
      <c r="L60" s="256">
        <f>[2]AMS_raw!H20</f>
        <v>0.14699999999999999</v>
      </c>
      <c r="M60" s="247">
        <f>[2]AMS_raw!M20</f>
        <v>1.0249999999999999</v>
      </c>
      <c r="N60" s="247">
        <f>[2]AMS_raw!N20</f>
        <v>1.0056</v>
      </c>
      <c r="O60" s="247">
        <f>[2]AMS_raw!O20</f>
        <v>0.96940000000000004</v>
      </c>
      <c r="P60" s="255"/>
      <c r="Q60" s="256"/>
      <c r="R60" s="256"/>
      <c r="S60" s="280">
        <f>[2]AMS_raw!S20</f>
        <v>0.42399999999999999</v>
      </c>
      <c r="T60" s="280">
        <f>[2]AMS_raw!T20</f>
        <v>1.018</v>
      </c>
      <c r="U60" s="280">
        <f>[2]AMS_raw!U20</f>
        <v>0.314</v>
      </c>
      <c r="V60" s="256">
        <f t="shared" si="1"/>
        <v>5.424390243902427</v>
      </c>
      <c r="W60" s="247">
        <f>[2]AMS_raw!V20</f>
        <v>0.30099999999999999</v>
      </c>
      <c r="X60" s="247">
        <f>[2]AMS_raw!AM20</f>
        <v>48</v>
      </c>
      <c r="Y60" s="247">
        <f>[2]AMS_raw!AN20</f>
        <v>80</v>
      </c>
      <c r="Z60" s="282"/>
      <c r="AA60" s="282"/>
      <c r="AB60" s="282"/>
      <c r="AC60" s="247">
        <f>[2]AMS_raw!AQ20</f>
        <v>274</v>
      </c>
      <c r="AD60" s="247">
        <f>[2]AMS_raw!AR20</f>
        <v>7</v>
      </c>
      <c r="AE60" s="261"/>
      <c r="AF60" s="247">
        <f>[2]AMS_raw!AD20</f>
        <v>27</v>
      </c>
      <c r="AG60" s="247">
        <f>[2]AMS_raw!AE20</f>
        <v>52</v>
      </c>
      <c r="AH60" s="247">
        <f>[2]AMS_raw!AG20</f>
        <v>294</v>
      </c>
      <c r="AI60" s="247">
        <f>[2]AMS_raw!AH20</f>
        <v>2</v>
      </c>
      <c r="AJ60" s="247">
        <f>[2]AMS_raw!AJ20</f>
        <v>202</v>
      </c>
      <c r="AK60" s="247">
        <f>[2]AMS_raw!AK20</f>
        <v>38</v>
      </c>
      <c r="AL60" s="259"/>
      <c r="AM60" s="262">
        <f t="shared" si="2"/>
        <v>27</v>
      </c>
      <c r="AN60">
        <f t="shared" si="3"/>
        <v>52</v>
      </c>
      <c r="AO60" s="283" t="s">
        <v>1368</v>
      </c>
      <c r="AP60" s="262">
        <f t="shared" si="4"/>
        <v>202</v>
      </c>
      <c r="AQ60">
        <f t="shared" si="5"/>
        <v>38</v>
      </c>
      <c r="AR60" s="7" t="s">
        <v>1372</v>
      </c>
      <c r="AS60"/>
      <c r="AV60" s="259"/>
      <c r="AW60" s="259"/>
      <c r="AY60" s="7" t="s">
        <v>1400</v>
      </c>
      <c r="AZ60" s="53" t="s">
        <v>1413</v>
      </c>
      <c r="BA60" s="285">
        <f>AVERAGE(AP60:AP61)+90</f>
        <v>292.5</v>
      </c>
      <c r="BB60" s="285">
        <f>90-AVERAGE(AQ60:AQ61)</f>
        <v>51</v>
      </c>
      <c r="BC60" s="7">
        <v>271.39999999999998</v>
      </c>
      <c r="BD60" s="7" t="s">
        <v>1486</v>
      </c>
      <c r="BE60" s="7" t="s">
        <v>39</v>
      </c>
      <c r="BF60" s="7" t="s">
        <v>1414</v>
      </c>
    </row>
    <row r="61" spans="1:106" s="356" customFormat="1">
      <c r="A61" s="369" t="s">
        <v>1412</v>
      </c>
      <c r="B61" s="264" t="str">
        <f>[2]AMS_raw!A21</f>
        <v>BB30_4</v>
      </c>
      <c r="C61" s="370"/>
      <c r="D61" s="266"/>
      <c r="E61" s="264"/>
      <c r="F61" s="264"/>
      <c r="G61" s="264"/>
      <c r="H61" s="264">
        <v>106</v>
      </c>
      <c r="I61" s="264">
        <v>45</v>
      </c>
      <c r="J61" s="352"/>
      <c r="K61" s="360">
        <f>[2]AMS_raw!G21</f>
        <v>218.8</v>
      </c>
      <c r="L61" s="272">
        <f>[2]AMS_raw!H21</f>
        <v>0.17399999999999999</v>
      </c>
      <c r="M61" s="264">
        <f>[2]AMS_raw!M21</f>
        <v>1.0249999999999999</v>
      </c>
      <c r="N61" s="264">
        <f>[2]AMS_raw!N21</f>
        <v>1.0058</v>
      </c>
      <c r="O61" s="264">
        <f>[2]AMS_raw!O21</f>
        <v>0.96919999999999995</v>
      </c>
      <c r="P61" s="271"/>
      <c r="Q61" s="272"/>
      <c r="R61" s="272"/>
      <c r="S61" s="354">
        <f>[2]AMS_raw!S21</f>
        <v>0.41499999999999998</v>
      </c>
      <c r="T61" s="354">
        <f>[2]AMS_raw!T21</f>
        <v>1.018</v>
      </c>
      <c r="U61" s="354">
        <f>[2]AMS_raw!U21</f>
        <v>0.32500000000000001</v>
      </c>
      <c r="V61" s="272">
        <f t="shared" si="1"/>
        <v>5.4439024390243871</v>
      </c>
      <c r="W61" s="264">
        <f>[2]AMS_raw!V21</f>
        <v>0.313</v>
      </c>
      <c r="X61" s="264">
        <f>[2]AMS_raw!AM21</f>
        <v>54</v>
      </c>
      <c r="Y61" s="264">
        <f>[2]AMS_raw!AN21</f>
        <v>84</v>
      </c>
      <c r="Z61" s="276"/>
      <c r="AA61" s="276"/>
      <c r="AB61" s="276"/>
      <c r="AC61" s="264">
        <f>[2]AMS_raw!AQ21</f>
        <v>275</v>
      </c>
      <c r="AD61" s="264">
        <f>[2]AMS_raw!AR21</f>
        <v>5</v>
      </c>
      <c r="AE61" s="277"/>
      <c r="AF61" s="264">
        <f>[2]AMS_raw!AD21</f>
        <v>22</v>
      </c>
      <c r="AG61" s="264">
        <f>[2]AMS_raw!AE21</f>
        <v>50</v>
      </c>
      <c r="AH61" s="247">
        <f>[2]AMS_raw!AG21</f>
        <v>113</v>
      </c>
      <c r="AI61" s="247">
        <f>[2]AMS_raw!AH21</f>
        <v>0</v>
      </c>
      <c r="AJ61" s="264">
        <f>[2]AMS_raw!AJ21</f>
        <v>203</v>
      </c>
      <c r="AK61" s="264">
        <f>[2]AMS_raw!AK21</f>
        <v>40</v>
      </c>
      <c r="AL61" s="275"/>
      <c r="AM61" s="355">
        <f t="shared" si="2"/>
        <v>22</v>
      </c>
      <c r="AN61" s="356">
        <f t="shared" si="3"/>
        <v>50</v>
      </c>
      <c r="AO61" s="359" t="s">
        <v>1368</v>
      </c>
      <c r="AP61" s="355">
        <f t="shared" si="4"/>
        <v>203</v>
      </c>
      <c r="AQ61" s="356">
        <f t="shared" si="5"/>
        <v>40</v>
      </c>
      <c r="AR61" s="357" t="s">
        <v>1372</v>
      </c>
      <c r="AV61" s="275"/>
      <c r="AW61" s="275"/>
      <c r="AY61" s="357" t="s">
        <v>1400</v>
      </c>
      <c r="AZ61" s="53" t="s">
        <v>1413</v>
      </c>
      <c r="BA61" s="366"/>
      <c r="BB61" s="366"/>
      <c r="BC61" s="357"/>
      <c r="BD61" s="357"/>
      <c r="BE61" s="357"/>
      <c r="BF61" s="357"/>
      <c r="BG61" s="357"/>
      <c r="BH61" s="357"/>
      <c r="BI61" s="357"/>
      <c r="BJ61" s="357"/>
      <c r="BK61" s="357"/>
      <c r="BL61" s="357"/>
      <c r="BM61" s="357"/>
      <c r="BN61" s="357"/>
      <c r="BO61" s="357"/>
      <c r="BP61" s="357"/>
      <c r="BQ61" s="357"/>
      <c r="BR61" s="357"/>
      <c r="BS61" s="357"/>
      <c r="BT61" s="357"/>
      <c r="BU61" s="357"/>
      <c r="BV61" s="357"/>
      <c r="BW61" s="357"/>
      <c r="BX61" s="357"/>
      <c r="BY61" s="357"/>
      <c r="BZ61" s="357"/>
      <c r="CA61" s="357"/>
      <c r="CB61" s="357"/>
      <c r="CC61" s="357"/>
      <c r="CD61" s="357"/>
      <c r="CE61" s="357"/>
      <c r="CF61" s="357"/>
      <c r="CG61" s="357"/>
      <c r="CH61" s="357"/>
      <c r="CI61" s="357"/>
      <c r="CJ61" s="357"/>
      <c r="CK61" s="357"/>
      <c r="CL61" s="357"/>
      <c r="CM61" s="357"/>
      <c r="CN61" s="357"/>
      <c r="CO61" s="357"/>
      <c r="CP61" s="357"/>
      <c r="CQ61" s="357"/>
      <c r="CR61" s="357"/>
      <c r="CS61" s="357"/>
      <c r="CT61" s="357"/>
      <c r="CU61" s="357"/>
      <c r="CV61" s="357"/>
      <c r="CW61" s="357"/>
      <c r="CX61" s="357"/>
      <c r="CY61" s="357"/>
      <c r="CZ61" s="357"/>
      <c r="DA61" s="357"/>
      <c r="DB61" s="357"/>
    </row>
    <row r="62" spans="1:106">
      <c r="A62" s="367" t="s">
        <v>1412</v>
      </c>
      <c r="B62" s="247" t="str">
        <f>[2]AMS_raw!A22</f>
        <v>BB31_3</v>
      </c>
      <c r="C62" s="368"/>
      <c r="D62" s="246"/>
      <c r="E62" s="247"/>
      <c r="F62" s="247"/>
      <c r="G62" s="247"/>
      <c r="H62" s="247">
        <v>297</v>
      </c>
      <c r="I62" s="247">
        <v>67</v>
      </c>
      <c r="J62" s="250"/>
      <c r="K62" s="284">
        <f>[2]AMS_raw!G22</f>
        <v>250.3</v>
      </c>
      <c r="L62" s="256">
        <f>[2]AMS_raw!H22</f>
        <v>0.16200000000000001</v>
      </c>
      <c r="M62" s="247">
        <f>[2]AMS_raw!M22</f>
        <v>1.0301</v>
      </c>
      <c r="N62" s="247">
        <f>[2]AMS_raw!N22</f>
        <v>1.0052000000000001</v>
      </c>
      <c r="O62" s="247">
        <f>[2]AMS_raw!O22</f>
        <v>0.96460000000000001</v>
      </c>
      <c r="P62" s="255"/>
      <c r="Q62" s="256"/>
      <c r="R62" s="256"/>
      <c r="S62" s="280">
        <f>[2]AMS_raw!S22</f>
        <v>0.46899999999999997</v>
      </c>
      <c r="T62" s="280">
        <f>[2]AMS_raw!T22</f>
        <v>1.0169999999999999</v>
      </c>
      <c r="U62" s="280">
        <f>[2]AMS_raw!U22</f>
        <v>0.255</v>
      </c>
      <c r="V62" s="256">
        <f t="shared" si="1"/>
        <v>6.3586059605863516</v>
      </c>
      <c r="W62" s="247">
        <f>[2]AMS_raw!V22</f>
        <v>0.24</v>
      </c>
      <c r="X62" s="247">
        <f>[2]AMS_raw!AM22</f>
        <v>327</v>
      </c>
      <c r="Y62" s="247">
        <f>[2]AMS_raw!AN22</f>
        <v>47</v>
      </c>
      <c r="Z62" s="282"/>
      <c r="AA62" s="282"/>
      <c r="AB62" s="282"/>
      <c r="AC62" s="247">
        <f>[2]AMS_raw!AQ22</f>
        <v>94</v>
      </c>
      <c r="AD62" s="247">
        <f>[2]AMS_raw!AR22</f>
        <v>29</v>
      </c>
      <c r="AE62" s="261"/>
      <c r="AF62" s="247">
        <f>[2]AMS_raw!AD22</f>
        <v>63</v>
      </c>
      <c r="AG62" s="247">
        <f>[2]AMS_raw!AE22</f>
        <v>3</v>
      </c>
      <c r="AH62" s="247">
        <f>[2]AMS_raw!AG22</f>
        <v>332</v>
      </c>
      <c r="AI62" s="247">
        <f>[2]AMS_raw!AH22</f>
        <v>7</v>
      </c>
      <c r="AJ62" s="247">
        <f>[2]AMS_raw!AJ22</f>
        <v>178</v>
      </c>
      <c r="AK62" s="247">
        <f>[2]AMS_raw!AK22</f>
        <v>83</v>
      </c>
      <c r="AL62" s="259"/>
      <c r="AM62" s="262">
        <f t="shared" si="2"/>
        <v>63</v>
      </c>
      <c r="AN62">
        <f t="shared" si="3"/>
        <v>3</v>
      </c>
      <c r="AO62" t="s">
        <v>1343</v>
      </c>
      <c r="AP62" s="262">
        <f t="shared" si="4"/>
        <v>178</v>
      </c>
      <c r="AQ62">
        <f t="shared" si="5"/>
        <v>83</v>
      </c>
      <c r="AR62" s="7" t="s">
        <v>1345</v>
      </c>
      <c r="AS62"/>
      <c r="AV62" s="259"/>
      <c r="AW62" s="259"/>
      <c r="AY62" s="7" t="s">
        <v>1400</v>
      </c>
      <c r="AZ62" s="53" t="s">
        <v>1415</v>
      </c>
      <c r="BA62" s="129">
        <f>AVERAGE(AP62:AP63)+90</f>
        <v>261</v>
      </c>
      <c r="BB62" s="129">
        <f>90-AVERAGE(AQ62:AQ63)</f>
        <v>6.5</v>
      </c>
      <c r="BC62" s="7">
        <v>297.39999999999998</v>
      </c>
      <c r="BD62" s="7" t="s">
        <v>1487</v>
      </c>
      <c r="BE62" s="7" t="s">
        <v>1500</v>
      </c>
    </row>
    <row r="63" spans="1:106" s="356" customFormat="1">
      <c r="A63" s="369" t="s">
        <v>1412</v>
      </c>
      <c r="B63" s="264" t="str">
        <f>[2]AMS_raw!A23</f>
        <v>BB31_4</v>
      </c>
      <c r="C63" s="370"/>
      <c r="D63" s="266"/>
      <c r="E63" s="264"/>
      <c r="F63" s="264"/>
      <c r="G63" s="264"/>
      <c r="H63" s="264">
        <v>297</v>
      </c>
      <c r="I63" s="264">
        <v>67</v>
      </c>
      <c r="J63" s="352"/>
      <c r="K63" s="360">
        <f>[2]AMS_raw!G23</f>
        <v>244.4</v>
      </c>
      <c r="L63" s="272">
        <f>[2]AMS_raw!H23</f>
        <v>0.16500000000000001</v>
      </c>
      <c r="M63" s="264">
        <f>[2]AMS_raw!M23</f>
        <v>1.0268999999999999</v>
      </c>
      <c r="N63" s="264">
        <f>[2]AMS_raw!N23</f>
        <v>1.0045999999999999</v>
      </c>
      <c r="O63" s="264">
        <f>[2]AMS_raw!O23</f>
        <v>0.96850000000000003</v>
      </c>
      <c r="P63" s="271"/>
      <c r="Q63" s="272"/>
      <c r="R63" s="272"/>
      <c r="S63" s="354">
        <f>[2]AMS_raw!S23</f>
        <v>0.47</v>
      </c>
      <c r="T63" s="354">
        <f>[2]AMS_raw!T23</f>
        <v>1.0149999999999999</v>
      </c>
      <c r="U63" s="354">
        <f>[2]AMS_raw!U23</f>
        <v>0.253</v>
      </c>
      <c r="V63" s="272">
        <f t="shared" si="1"/>
        <v>5.6870191839516888</v>
      </c>
      <c r="W63" s="264">
        <f>[2]AMS_raw!V23</f>
        <v>0.23899999999999999</v>
      </c>
      <c r="X63" s="264">
        <f>[2]AMS_raw!AM23</f>
        <v>334</v>
      </c>
      <c r="Y63" s="264">
        <f>[2]AMS_raw!AN23</f>
        <v>45</v>
      </c>
      <c r="Z63" s="276"/>
      <c r="AA63" s="276"/>
      <c r="AB63" s="276"/>
      <c r="AC63" s="264">
        <f>[2]AMS_raw!AQ23</f>
        <v>94</v>
      </c>
      <c r="AD63" s="264">
        <f>[2]AMS_raw!AR23</f>
        <v>27</v>
      </c>
      <c r="AE63" s="277"/>
      <c r="AF63" s="264">
        <f>[2]AMS_raw!AD23</f>
        <v>66</v>
      </c>
      <c r="AG63" s="264">
        <f>[2]AMS_raw!AE23</f>
        <v>1</v>
      </c>
      <c r="AH63" s="247">
        <f>[2]AMS_raw!AG23</f>
        <v>336</v>
      </c>
      <c r="AI63" s="247">
        <f>[2]AMS_raw!AH23</f>
        <v>6</v>
      </c>
      <c r="AJ63" s="264">
        <f>[2]AMS_raw!AJ23</f>
        <v>164</v>
      </c>
      <c r="AK63" s="264">
        <f>[2]AMS_raw!AK23</f>
        <v>84</v>
      </c>
      <c r="AL63" s="275"/>
      <c r="AM63" s="355">
        <f t="shared" si="2"/>
        <v>66</v>
      </c>
      <c r="AN63" s="356">
        <f t="shared" si="3"/>
        <v>1</v>
      </c>
      <c r="AO63" s="356" t="s">
        <v>1343</v>
      </c>
      <c r="AP63" s="355">
        <f t="shared" si="4"/>
        <v>164</v>
      </c>
      <c r="AQ63" s="356">
        <f t="shared" si="5"/>
        <v>84</v>
      </c>
      <c r="AR63" s="357" t="s">
        <v>1345</v>
      </c>
      <c r="AV63" s="275"/>
      <c r="AW63" s="275"/>
      <c r="AY63" s="357" t="s">
        <v>1400</v>
      </c>
      <c r="AZ63" s="53" t="s">
        <v>1415</v>
      </c>
      <c r="BA63" s="371"/>
      <c r="BB63" s="371"/>
      <c r="BC63" s="357"/>
      <c r="BD63" s="357"/>
      <c r="BE63" s="357"/>
      <c r="BF63" s="357"/>
      <c r="BG63" s="357"/>
      <c r="BH63" s="357"/>
      <c r="BI63" s="357"/>
      <c r="BJ63" s="357"/>
      <c r="BK63" s="357"/>
      <c r="BL63" s="357"/>
      <c r="BM63" s="357"/>
      <c r="BN63" s="357"/>
      <c r="BO63" s="357"/>
      <c r="BP63" s="357"/>
      <c r="BQ63" s="357"/>
      <c r="BR63" s="357"/>
      <c r="BS63" s="357"/>
      <c r="BT63" s="357"/>
      <c r="BU63" s="357"/>
      <c r="BV63" s="357"/>
      <c r="BW63" s="357"/>
      <c r="BX63" s="357"/>
      <c r="BY63" s="357"/>
      <c r="BZ63" s="357"/>
      <c r="CA63" s="357"/>
      <c r="CB63" s="357"/>
      <c r="CC63" s="357"/>
      <c r="CD63" s="357"/>
      <c r="CE63" s="357"/>
      <c r="CF63" s="357"/>
      <c r="CG63" s="357"/>
      <c r="CH63" s="357"/>
      <c r="CI63" s="357"/>
      <c r="CJ63" s="357"/>
      <c r="CK63" s="357"/>
      <c r="CL63" s="357"/>
      <c r="CM63" s="357"/>
      <c r="CN63" s="357"/>
      <c r="CO63" s="357"/>
      <c r="CP63" s="357"/>
      <c r="CQ63" s="357"/>
      <c r="CR63" s="357"/>
      <c r="CS63" s="357"/>
      <c r="CT63" s="357"/>
      <c r="CU63" s="357"/>
      <c r="CV63" s="357"/>
      <c r="CW63" s="357"/>
      <c r="CX63" s="357"/>
      <c r="CY63" s="357"/>
      <c r="CZ63" s="357"/>
      <c r="DA63" s="357"/>
      <c r="DB63" s="357"/>
    </row>
    <row r="64" spans="1:106">
      <c r="A64" s="367" t="s">
        <v>1412</v>
      </c>
      <c r="B64" s="247" t="str">
        <f>[2]AMS_raw!A24</f>
        <v>BB32_3</v>
      </c>
      <c r="C64" s="368"/>
      <c r="D64" s="246"/>
      <c r="E64" s="247"/>
      <c r="F64" s="247"/>
      <c r="G64" s="247"/>
      <c r="H64" s="247">
        <v>289</v>
      </c>
      <c r="I64" s="247">
        <v>74</v>
      </c>
      <c r="J64" s="250"/>
      <c r="K64" s="284">
        <f>[2]AMS_raw!G24</f>
        <v>290.89999999999998</v>
      </c>
      <c r="L64" s="256">
        <f>[2]AMS_raw!H24</f>
        <v>7.4999999999999997E-2</v>
      </c>
      <c r="M64" s="247">
        <f>[2]AMS_raw!M24</f>
        <v>1.0273000000000001</v>
      </c>
      <c r="N64" s="247">
        <f>[2]AMS_raw!N24</f>
        <v>1.0075000000000001</v>
      </c>
      <c r="O64" s="247">
        <f>[2]AMS_raw!O24</f>
        <v>0.96519999999999995</v>
      </c>
      <c r="P64" s="255"/>
      <c r="Q64" s="256"/>
      <c r="R64" s="256"/>
      <c r="S64" s="280">
        <f>[2]AMS_raw!S24</f>
        <v>0.378</v>
      </c>
      <c r="T64" s="280">
        <f>[2]AMS_raw!T24</f>
        <v>1.024</v>
      </c>
      <c r="U64" s="280">
        <f>[2]AMS_raw!U24</f>
        <v>0.378</v>
      </c>
      <c r="V64" s="256">
        <f t="shared" si="1"/>
        <v>6.0449722573737121</v>
      </c>
      <c r="W64" s="247">
        <f>[2]AMS_raw!V24</f>
        <v>0.36499999999999999</v>
      </c>
      <c r="X64" s="247">
        <f>[2]AMS_raw!AM24</f>
        <v>335</v>
      </c>
      <c r="Y64" s="247">
        <f>[2]AMS_raw!AN24</f>
        <v>75</v>
      </c>
      <c r="Z64" s="282"/>
      <c r="AA64" s="282"/>
      <c r="AB64" s="282"/>
      <c r="AC64" s="247">
        <f>[2]AMS_raw!AQ24</f>
        <v>91</v>
      </c>
      <c r="AD64" s="247">
        <f>[2]AMS_raw!AR24</f>
        <v>7</v>
      </c>
      <c r="AE64" s="261"/>
      <c r="AF64" s="247">
        <f>[2]AMS_raw!AD24</f>
        <v>213</v>
      </c>
      <c r="AG64" s="247">
        <f>[2]AMS_raw!AE24</f>
        <v>9</v>
      </c>
      <c r="AH64" s="247">
        <f>[2]AMS_raw!AG24</f>
        <v>123</v>
      </c>
      <c r="AI64" s="247">
        <f>[2]AMS_raw!AH24</f>
        <v>1</v>
      </c>
      <c r="AJ64" s="247">
        <f>[2]AMS_raw!AJ24</f>
        <v>27</v>
      </c>
      <c r="AK64" s="247">
        <f>[2]AMS_raw!AK24</f>
        <v>81</v>
      </c>
      <c r="AL64" s="259"/>
      <c r="AM64" s="262">
        <f t="shared" si="2"/>
        <v>213</v>
      </c>
      <c r="AN64">
        <f t="shared" si="3"/>
        <v>9</v>
      </c>
      <c r="AO64" s="283" t="s">
        <v>1368</v>
      </c>
      <c r="AP64" s="262">
        <f t="shared" si="4"/>
        <v>27</v>
      </c>
      <c r="AQ64">
        <f t="shared" si="5"/>
        <v>81</v>
      </c>
      <c r="AR64" s="7" t="s">
        <v>1372</v>
      </c>
      <c r="AS64"/>
      <c r="AV64" s="259"/>
      <c r="AW64" s="259"/>
      <c r="AY64" s="7" t="s">
        <v>1400</v>
      </c>
      <c r="AZ64" s="53" t="s">
        <v>1382</v>
      </c>
      <c r="BA64" s="5">
        <f>AVERAGE(AP64:AP65)+90</f>
        <v>118.5</v>
      </c>
      <c r="BB64" s="5">
        <f>90-AVERAGE(AQ64:AQ65)</f>
        <v>8.5</v>
      </c>
      <c r="BC64" s="7">
        <v>289.39999999999998</v>
      </c>
      <c r="BD64" s="7" t="s">
        <v>1488</v>
      </c>
      <c r="BE64" s="7" t="s">
        <v>258</v>
      </c>
    </row>
    <row r="65" spans="1:106" s="356" customFormat="1">
      <c r="A65" s="369" t="s">
        <v>1412</v>
      </c>
      <c r="B65" s="264" t="str">
        <f>[2]AMS_raw!A25</f>
        <v>BB32_4</v>
      </c>
      <c r="C65" s="370"/>
      <c r="D65" s="266"/>
      <c r="E65" s="264"/>
      <c r="F65" s="264"/>
      <c r="G65" s="264"/>
      <c r="H65" s="264">
        <v>289</v>
      </c>
      <c r="I65" s="264">
        <v>74</v>
      </c>
      <c r="J65" s="352"/>
      <c r="K65" s="360">
        <f>[2]AMS_raw!G25</f>
        <v>291.7</v>
      </c>
      <c r="L65" s="272">
        <f>[2]AMS_raw!H25</f>
        <v>6.2E-2</v>
      </c>
      <c r="M65" s="264">
        <f>[2]AMS_raw!M25</f>
        <v>1.0268999999999999</v>
      </c>
      <c r="N65" s="264">
        <f>[2]AMS_raw!N25</f>
        <v>1.0082</v>
      </c>
      <c r="O65" s="264">
        <f>[2]AMS_raw!O25</f>
        <v>0.96489999999999998</v>
      </c>
      <c r="P65" s="271"/>
      <c r="Q65" s="272"/>
      <c r="R65" s="272"/>
      <c r="S65" s="354">
        <f>[2]AMS_raw!S25</f>
        <v>0.35699999999999998</v>
      </c>
      <c r="T65" s="354">
        <f>[2]AMS_raw!T25</f>
        <v>1.026</v>
      </c>
      <c r="U65" s="354">
        <f>[2]AMS_raw!U25</f>
        <v>0.40699999999999997</v>
      </c>
      <c r="V65" s="272">
        <f t="shared" si="1"/>
        <v>6.0375888596747442</v>
      </c>
      <c r="W65" s="264">
        <f>[2]AMS_raw!V25</f>
        <v>0.39400000000000002</v>
      </c>
      <c r="X65" s="264">
        <f>[2]AMS_raw!AM25</f>
        <v>333</v>
      </c>
      <c r="Y65" s="264">
        <f>[2]AMS_raw!AN25</f>
        <v>74</v>
      </c>
      <c r="Z65" s="276"/>
      <c r="AA65" s="276"/>
      <c r="AB65" s="276"/>
      <c r="AC65" s="264">
        <f>[2]AMS_raw!AQ25</f>
        <v>92</v>
      </c>
      <c r="AD65" s="264">
        <f>[2]AMS_raw!AR25</f>
        <v>8</v>
      </c>
      <c r="AE65" s="277"/>
      <c r="AF65" s="264">
        <f>[2]AMS_raw!AD25</f>
        <v>214</v>
      </c>
      <c r="AG65" s="264">
        <f>[2]AMS_raw!AE25</f>
        <v>8</v>
      </c>
      <c r="AH65" s="247">
        <f>[2]AMS_raw!AG25</f>
        <v>124</v>
      </c>
      <c r="AI65" s="247">
        <f>[2]AMS_raw!AH25</f>
        <v>1</v>
      </c>
      <c r="AJ65" s="264">
        <f>[2]AMS_raw!AJ25</f>
        <v>30</v>
      </c>
      <c r="AK65" s="264">
        <f>[2]AMS_raw!AK25</f>
        <v>82</v>
      </c>
      <c r="AL65" s="275"/>
      <c r="AM65" s="355">
        <f t="shared" si="2"/>
        <v>214</v>
      </c>
      <c r="AN65" s="356">
        <f t="shared" si="3"/>
        <v>8</v>
      </c>
      <c r="AO65" s="359" t="s">
        <v>1368</v>
      </c>
      <c r="AP65" s="355">
        <f t="shared" si="4"/>
        <v>30</v>
      </c>
      <c r="AQ65" s="356">
        <f t="shared" si="5"/>
        <v>82</v>
      </c>
      <c r="AR65" s="357" t="s">
        <v>1372</v>
      </c>
      <c r="AV65" s="275"/>
      <c r="AW65" s="275"/>
      <c r="AY65" s="357" t="s">
        <v>1400</v>
      </c>
      <c r="AZ65" s="53" t="s">
        <v>1382</v>
      </c>
      <c r="BA65" s="371"/>
      <c r="BB65" s="371"/>
      <c r="BC65" s="357"/>
      <c r="BD65" s="357"/>
      <c r="BE65" s="357" t="s">
        <v>1416</v>
      </c>
      <c r="BF65" s="357"/>
      <c r="BG65" s="357"/>
      <c r="BH65" s="357"/>
      <c r="BI65" s="357"/>
      <c r="BJ65" s="357"/>
      <c r="BK65" s="357"/>
      <c r="BL65" s="357"/>
      <c r="BM65" s="357"/>
      <c r="BN65" s="357"/>
      <c r="BO65" s="357"/>
      <c r="BP65" s="357"/>
      <c r="BQ65" s="357"/>
      <c r="BR65" s="357"/>
      <c r="BS65" s="357"/>
      <c r="BT65" s="357"/>
      <c r="BU65" s="357"/>
      <c r="BV65" s="357"/>
      <c r="BW65" s="357"/>
      <c r="BX65" s="357"/>
      <c r="BY65" s="357"/>
      <c r="BZ65" s="357"/>
      <c r="CA65" s="357"/>
      <c r="CB65" s="357"/>
      <c r="CC65" s="357"/>
      <c r="CD65" s="357"/>
      <c r="CE65" s="357"/>
      <c r="CF65" s="357"/>
      <c r="CG65" s="357"/>
      <c r="CH65" s="357"/>
      <c r="CI65" s="357"/>
      <c r="CJ65" s="357"/>
      <c r="CK65" s="357"/>
      <c r="CL65" s="357"/>
      <c r="CM65" s="357"/>
      <c r="CN65" s="357"/>
      <c r="CO65" s="357"/>
      <c r="CP65" s="357"/>
      <c r="CQ65" s="357"/>
      <c r="CR65" s="357"/>
      <c r="CS65" s="357"/>
      <c r="CT65" s="357"/>
      <c r="CU65" s="357"/>
      <c r="CV65" s="357"/>
      <c r="CW65" s="357"/>
      <c r="CX65" s="357"/>
      <c r="CY65" s="357"/>
      <c r="CZ65" s="357"/>
      <c r="DA65" s="357"/>
      <c r="DB65" s="357"/>
    </row>
    <row r="66" spans="1:106">
      <c r="A66" s="367" t="s">
        <v>1412</v>
      </c>
      <c r="B66" s="372" t="s">
        <v>1417</v>
      </c>
      <c r="C66" s="373">
        <v>23.228999999999999</v>
      </c>
      <c r="D66" s="374">
        <v>3</v>
      </c>
      <c r="E66" s="375">
        <v>0</v>
      </c>
      <c r="F66" s="375">
        <v>3</v>
      </c>
      <c r="G66" s="375">
        <v>90</v>
      </c>
      <c r="H66" s="376">
        <v>108.4</v>
      </c>
      <c r="I66" s="377">
        <v>27</v>
      </c>
      <c r="J66" s="378">
        <f t="shared" si="0"/>
        <v>288.39999999999998</v>
      </c>
      <c r="K66" s="251">
        <f>325.1</f>
        <v>325.10000000000002</v>
      </c>
      <c r="L66" s="379">
        <v>2.1999999999999999E-2</v>
      </c>
      <c r="M66" s="380">
        <v>1.0363</v>
      </c>
      <c r="N66" s="381">
        <v>1.0121</v>
      </c>
      <c r="O66" s="381">
        <v>0.95150000000000001</v>
      </c>
      <c r="P66" s="382">
        <v>1.089</v>
      </c>
      <c r="Q66" s="383">
        <v>1.024</v>
      </c>
      <c r="R66" s="383">
        <v>1.0640000000000001</v>
      </c>
      <c r="S66" s="257">
        <v>0.33300000000000002</v>
      </c>
      <c r="T66" s="257">
        <v>1.0389999999999999</v>
      </c>
      <c r="U66" s="257">
        <v>0.44600000000000001</v>
      </c>
      <c r="V66" s="257">
        <f t="shared" si="1"/>
        <v>8.182958602721218</v>
      </c>
      <c r="W66" s="384">
        <v>0.42899999999999999</v>
      </c>
      <c r="X66" s="302">
        <v>344</v>
      </c>
      <c r="Y66" s="302">
        <v>54</v>
      </c>
      <c r="Z66" s="385">
        <v>1</v>
      </c>
      <c r="AA66" s="385">
        <v>181</v>
      </c>
      <c r="AB66" s="385">
        <v>35</v>
      </c>
      <c r="AC66" s="302">
        <v>85</v>
      </c>
      <c r="AD66" s="302">
        <v>8</v>
      </c>
      <c r="AE66" s="386">
        <v>0.3</v>
      </c>
      <c r="AF66" s="7">
        <v>66.2</v>
      </c>
      <c r="AG66" s="7">
        <v>40.299999999999997</v>
      </c>
      <c r="AH66" s="7"/>
      <c r="AI66" s="7"/>
      <c r="AJ66" s="7">
        <v>192.4</v>
      </c>
      <c r="AK66" s="7">
        <v>34.9</v>
      </c>
      <c r="AL66" s="259" t="s">
        <v>1361</v>
      </c>
      <c r="AM66" s="304">
        <f t="shared" si="2"/>
        <v>66.2</v>
      </c>
      <c r="AN66" s="305">
        <f t="shared" si="3"/>
        <v>40.299999999999997</v>
      </c>
      <c r="AO66" t="s">
        <v>1343</v>
      </c>
      <c r="AP66" s="262">
        <f t="shared" si="4"/>
        <v>192.4</v>
      </c>
      <c r="AQ66">
        <f t="shared" si="5"/>
        <v>34.9</v>
      </c>
      <c r="AR66" t="s">
        <v>1356</v>
      </c>
      <c r="AS66">
        <v>12.4</v>
      </c>
      <c r="AT66">
        <v>34.9</v>
      </c>
      <c r="AV66" s="259">
        <v>66.2</v>
      </c>
      <c r="AW66" s="259">
        <v>40.299999999999997</v>
      </c>
      <c r="AX66" t="s">
        <v>1343</v>
      </c>
      <c r="AY66" s="7" t="s">
        <v>1400</v>
      </c>
      <c r="AZ66" s="53" t="s">
        <v>1418</v>
      </c>
      <c r="BA66" s="285">
        <f>AVERAGE(AP66:AP69)+90</f>
        <v>282.5</v>
      </c>
      <c r="BB66" s="285">
        <f>90-AVERAGE(AQ66:AQ69)</f>
        <v>57.875</v>
      </c>
      <c r="BC66" s="7">
        <v>267.39999999999998</v>
      </c>
      <c r="BD66" s="7" t="s">
        <v>1480</v>
      </c>
      <c r="BE66" s="7" t="s">
        <v>39</v>
      </c>
      <c r="BF66" s="7" t="s">
        <v>1419</v>
      </c>
    </row>
    <row r="67" spans="1:106">
      <c r="A67" s="367" t="s">
        <v>1412</v>
      </c>
      <c r="B67" s="372" t="s">
        <v>1420</v>
      </c>
      <c r="C67" s="373">
        <v>22.486000000000001</v>
      </c>
      <c r="D67" s="374">
        <v>3</v>
      </c>
      <c r="E67" s="375">
        <v>0</v>
      </c>
      <c r="F67" s="375">
        <v>3</v>
      </c>
      <c r="G67" s="375">
        <v>90</v>
      </c>
      <c r="H67" s="376">
        <v>108.4</v>
      </c>
      <c r="I67" s="377">
        <v>27</v>
      </c>
      <c r="J67" s="378">
        <f t="shared" si="0"/>
        <v>288.39999999999998</v>
      </c>
      <c r="K67" s="251">
        <f>359</f>
        <v>359</v>
      </c>
      <c r="L67" s="379">
        <v>0.03</v>
      </c>
      <c r="M67" s="380">
        <v>1.0362</v>
      </c>
      <c r="N67" s="381">
        <v>1.0136000000000001</v>
      </c>
      <c r="O67" s="381">
        <v>0.95009999999999994</v>
      </c>
      <c r="P67" s="382">
        <v>1.091</v>
      </c>
      <c r="Q67" s="383">
        <v>1.022</v>
      </c>
      <c r="R67" s="383">
        <v>1.0669999999999999</v>
      </c>
      <c r="S67" s="257">
        <v>0.30199999999999999</v>
      </c>
      <c r="T67" s="257">
        <v>1.044</v>
      </c>
      <c r="U67" s="257">
        <v>0.49199999999999999</v>
      </c>
      <c r="V67" s="257">
        <f t="shared" si="1"/>
        <v>8.309206716850035</v>
      </c>
      <c r="W67" s="384">
        <v>0.47499999999999998</v>
      </c>
      <c r="X67" s="302">
        <v>348</v>
      </c>
      <c r="Y67" s="302">
        <v>55</v>
      </c>
      <c r="Z67" s="385">
        <v>1.4</v>
      </c>
      <c r="AA67" s="385">
        <v>177</v>
      </c>
      <c r="AB67" s="385">
        <v>35</v>
      </c>
      <c r="AC67" s="302">
        <v>84</v>
      </c>
      <c r="AD67" s="302">
        <v>4</v>
      </c>
      <c r="AE67" s="386">
        <v>0.4</v>
      </c>
      <c r="AF67" s="7">
        <v>68</v>
      </c>
      <c r="AG67" s="7">
        <v>42.5</v>
      </c>
      <c r="AH67" s="7"/>
      <c r="AI67" s="7"/>
      <c r="AJ67" s="7">
        <v>191.4</v>
      </c>
      <c r="AK67" s="7">
        <v>30.8</v>
      </c>
      <c r="AL67" s="259" t="s">
        <v>1361</v>
      </c>
      <c r="AM67" s="304">
        <f t="shared" si="2"/>
        <v>68</v>
      </c>
      <c r="AN67" s="305">
        <f t="shared" si="3"/>
        <v>42.5</v>
      </c>
      <c r="AO67" t="s">
        <v>1343</v>
      </c>
      <c r="AP67" s="262">
        <f t="shared" si="4"/>
        <v>191.4</v>
      </c>
      <c r="AQ67">
        <f t="shared" si="5"/>
        <v>30.8</v>
      </c>
      <c r="AR67" t="s">
        <v>1356</v>
      </c>
      <c r="AS67">
        <v>11.4</v>
      </c>
      <c r="AT67">
        <v>30.8</v>
      </c>
      <c r="AV67" s="259">
        <v>68</v>
      </c>
      <c r="AW67" s="259">
        <v>42.5</v>
      </c>
      <c r="AX67" t="s">
        <v>1343</v>
      </c>
      <c r="AY67" s="7" t="s">
        <v>1400</v>
      </c>
      <c r="AZ67" s="53" t="s">
        <v>1418</v>
      </c>
      <c r="BA67" s="129"/>
      <c r="BB67" s="129"/>
    </row>
    <row r="68" spans="1:106">
      <c r="A68" s="367" t="s">
        <v>1412</v>
      </c>
      <c r="B68" s="372" t="s">
        <v>1421</v>
      </c>
      <c r="C68" s="387"/>
      <c r="D68" s="374">
        <v>3</v>
      </c>
      <c r="E68" s="375">
        <v>0</v>
      </c>
      <c r="F68" s="375">
        <v>3</v>
      </c>
      <c r="G68" s="375">
        <v>90</v>
      </c>
      <c r="H68" s="376">
        <v>108.4</v>
      </c>
      <c r="I68" s="377">
        <v>27</v>
      </c>
      <c r="J68" s="378">
        <f t="shared" si="0"/>
        <v>288.39999999999998</v>
      </c>
      <c r="K68" s="251">
        <f>367.1</f>
        <v>367.1</v>
      </c>
      <c r="L68" s="379">
        <v>0.02</v>
      </c>
      <c r="M68" s="380">
        <v>1.0335000000000001</v>
      </c>
      <c r="N68" s="381">
        <v>1.0129999999999999</v>
      </c>
      <c r="O68" s="381">
        <v>0.95209999999999995</v>
      </c>
      <c r="P68" s="382">
        <v>1.087</v>
      </c>
      <c r="Q68" s="383">
        <v>1.022</v>
      </c>
      <c r="R68" s="383">
        <v>1.0640000000000001</v>
      </c>
      <c r="S68" s="257">
        <v>0.30599999999999999</v>
      </c>
      <c r="T68" s="257">
        <v>1.0409999999999999</v>
      </c>
      <c r="U68" s="257">
        <v>0.48499999999999999</v>
      </c>
      <c r="V68" s="257">
        <f t="shared" si="1"/>
        <v>7.8761490082244938</v>
      </c>
      <c r="W68" s="384">
        <v>0.46899999999999997</v>
      </c>
      <c r="X68" s="302">
        <v>347</v>
      </c>
      <c r="Y68" s="302">
        <v>57</v>
      </c>
      <c r="Z68" s="385">
        <v>1</v>
      </c>
      <c r="AA68" s="385">
        <v>178</v>
      </c>
      <c r="AB68" s="385">
        <v>33</v>
      </c>
      <c r="AC68" s="302">
        <v>85</v>
      </c>
      <c r="AD68" s="302">
        <v>5</v>
      </c>
      <c r="AE68" s="386">
        <v>0.3</v>
      </c>
      <c r="AF68" s="7">
        <v>65.7</v>
      </c>
      <c r="AG68" s="7">
        <v>43.8</v>
      </c>
      <c r="AH68" s="7"/>
      <c r="AI68" s="7"/>
      <c r="AJ68" s="7">
        <v>192.5</v>
      </c>
      <c r="AK68" s="7">
        <v>31.9</v>
      </c>
      <c r="AL68" s="259" t="s">
        <v>1361</v>
      </c>
      <c r="AM68" s="304">
        <f t="shared" si="2"/>
        <v>65.7</v>
      </c>
      <c r="AN68" s="305">
        <f t="shared" si="3"/>
        <v>43.8</v>
      </c>
      <c r="AO68" t="s">
        <v>1343</v>
      </c>
      <c r="AP68" s="262">
        <f t="shared" si="4"/>
        <v>192.5</v>
      </c>
      <c r="AQ68">
        <f t="shared" si="5"/>
        <v>31.9</v>
      </c>
      <c r="AR68" t="s">
        <v>1356</v>
      </c>
      <c r="AS68">
        <v>12.5</v>
      </c>
      <c r="AT68">
        <v>31.9</v>
      </c>
      <c r="AV68" s="259">
        <v>65.7</v>
      </c>
      <c r="AW68" s="259">
        <v>43.8</v>
      </c>
      <c r="AX68" t="s">
        <v>1343</v>
      </c>
      <c r="AY68" s="7" t="s">
        <v>1400</v>
      </c>
      <c r="AZ68" s="53" t="s">
        <v>1418</v>
      </c>
      <c r="BA68" s="129"/>
      <c r="BB68" s="129"/>
    </row>
    <row r="69" spans="1:106" s="356" customFormat="1">
      <c r="A69" s="369" t="s">
        <v>1412</v>
      </c>
      <c r="B69" s="388" t="s">
        <v>1422</v>
      </c>
      <c r="C69" s="389"/>
      <c r="D69" s="390">
        <v>3</v>
      </c>
      <c r="E69" s="388">
        <v>0</v>
      </c>
      <c r="F69" s="388">
        <v>3</v>
      </c>
      <c r="G69" s="388">
        <v>90</v>
      </c>
      <c r="H69" s="391">
        <v>108.4</v>
      </c>
      <c r="I69" s="392">
        <v>27</v>
      </c>
      <c r="J69" s="393">
        <f t="shared" si="0"/>
        <v>288.39999999999998</v>
      </c>
      <c r="K69" s="267">
        <f>327.6</f>
        <v>327.60000000000002</v>
      </c>
      <c r="L69" s="394">
        <v>0.03</v>
      </c>
      <c r="M69" s="395">
        <v>1.0353000000000001</v>
      </c>
      <c r="N69" s="396">
        <v>1.0147999999999999</v>
      </c>
      <c r="O69" s="396">
        <v>0.94989999999999997</v>
      </c>
      <c r="P69" s="397">
        <v>1.0900000000000001</v>
      </c>
      <c r="Q69" s="398">
        <v>1.02</v>
      </c>
      <c r="R69" s="398">
        <v>1.0680000000000001</v>
      </c>
      <c r="S69" s="273">
        <v>0.27300000000000002</v>
      </c>
      <c r="T69" s="273">
        <v>1.0469999999999999</v>
      </c>
      <c r="U69" s="273">
        <v>0.53600000000000003</v>
      </c>
      <c r="V69" s="273">
        <f t="shared" si="1"/>
        <v>8.2488167680865576</v>
      </c>
      <c r="W69" s="399">
        <v>0.52</v>
      </c>
      <c r="X69" s="317">
        <v>351</v>
      </c>
      <c r="Y69" s="317">
        <v>55</v>
      </c>
      <c r="Z69" s="400">
        <v>1.5</v>
      </c>
      <c r="AA69" s="385">
        <v>179</v>
      </c>
      <c r="AB69" s="385">
        <v>35</v>
      </c>
      <c r="AC69" s="317">
        <v>86</v>
      </c>
      <c r="AD69" s="317">
        <v>4</v>
      </c>
      <c r="AE69" s="401">
        <v>0.4</v>
      </c>
      <c r="AF69" s="357">
        <v>69.8</v>
      </c>
      <c r="AG69" s="357">
        <v>43.6</v>
      </c>
      <c r="AH69" s="357"/>
      <c r="AI69" s="357"/>
      <c r="AJ69" s="357">
        <v>193.7</v>
      </c>
      <c r="AK69" s="357">
        <v>30.9</v>
      </c>
      <c r="AL69" s="275" t="s">
        <v>1361</v>
      </c>
      <c r="AM69" s="402">
        <f t="shared" si="2"/>
        <v>69.8</v>
      </c>
      <c r="AN69" s="403">
        <f t="shared" si="3"/>
        <v>43.6</v>
      </c>
      <c r="AO69" s="356" t="s">
        <v>1343</v>
      </c>
      <c r="AP69" s="355">
        <f t="shared" si="4"/>
        <v>193.7</v>
      </c>
      <c r="AQ69" s="356">
        <f t="shared" si="5"/>
        <v>30.9</v>
      </c>
      <c r="AR69" s="356" t="s">
        <v>1356</v>
      </c>
      <c r="AS69" s="356">
        <v>13.7</v>
      </c>
      <c r="AT69" s="356">
        <v>30.9</v>
      </c>
      <c r="AV69" s="275">
        <v>69.8</v>
      </c>
      <c r="AW69" s="275">
        <v>43.6</v>
      </c>
      <c r="AX69" s="356" t="s">
        <v>1343</v>
      </c>
      <c r="AY69" s="357" t="s">
        <v>1400</v>
      </c>
      <c r="AZ69" s="53" t="s">
        <v>1418</v>
      </c>
      <c r="BA69" s="404"/>
      <c r="BB69" s="404"/>
      <c r="BC69" s="357"/>
      <c r="BD69" s="357"/>
      <c r="BE69" s="357"/>
      <c r="BF69" s="357"/>
      <c r="BG69" s="357"/>
      <c r="BH69" s="357"/>
      <c r="BI69" s="357"/>
      <c r="BJ69" s="357"/>
      <c r="BK69" s="357"/>
      <c r="BL69" s="357"/>
      <c r="BM69" s="357"/>
      <c r="BN69" s="357"/>
      <c r="BO69" s="357"/>
      <c r="BP69" s="357"/>
      <c r="BQ69" s="357"/>
      <c r="BR69" s="357"/>
      <c r="BS69" s="357"/>
      <c r="BT69" s="357"/>
      <c r="BU69" s="357"/>
      <c r="BV69" s="357"/>
      <c r="BW69" s="357"/>
      <c r="BX69" s="357"/>
      <c r="BY69" s="357"/>
      <c r="BZ69" s="357"/>
      <c r="CA69" s="357"/>
      <c r="CB69" s="357"/>
      <c r="CC69" s="357"/>
      <c r="CD69" s="357"/>
      <c r="CE69" s="357"/>
      <c r="CF69" s="357"/>
      <c r="CG69" s="357"/>
      <c r="CH69" s="357"/>
      <c r="CI69" s="357"/>
      <c r="CJ69" s="357"/>
      <c r="CK69" s="357"/>
      <c r="CL69" s="357"/>
      <c r="CM69" s="357"/>
      <c r="CN69" s="357"/>
      <c r="CO69" s="357"/>
      <c r="CP69" s="357"/>
      <c r="CQ69" s="357"/>
      <c r="CR69" s="357"/>
      <c r="CS69" s="357"/>
      <c r="CT69" s="357"/>
      <c r="CU69" s="357"/>
      <c r="CV69" s="357"/>
      <c r="CW69" s="357"/>
      <c r="CX69" s="357"/>
      <c r="CY69" s="357"/>
      <c r="CZ69" s="357"/>
      <c r="DA69" s="357"/>
      <c r="DB69" s="357"/>
    </row>
    <row r="70" spans="1:106">
      <c r="A70" s="367" t="s">
        <v>1412</v>
      </c>
      <c r="B70" s="247" t="str">
        <f>[2]AMS_raw!A26</f>
        <v>BB34_3</v>
      </c>
      <c r="C70" s="405"/>
      <c r="D70" s="246"/>
      <c r="E70" s="247"/>
      <c r="F70" s="247"/>
      <c r="G70" s="247"/>
      <c r="H70" s="247">
        <v>99</v>
      </c>
      <c r="I70" s="247">
        <v>62</v>
      </c>
      <c r="J70" s="250"/>
      <c r="K70" s="284">
        <f>[2]AMS_raw!G26</f>
        <v>237</v>
      </c>
      <c r="L70" s="256">
        <f>[2]AMS_raw!H26</f>
        <v>0.13900000000000001</v>
      </c>
      <c r="M70" s="247">
        <f>[2]AMS_raw!M26</f>
        <v>1.0306999999999999</v>
      </c>
      <c r="N70" s="247">
        <f>[2]AMS_raw!N26</f>
        <v>1.0097</v>
      </c>
      <c r="O70" s="247">
        <f>[2]AMS_raw!O26</f>
        <v>0.95960000000000001</v>
      </c>
      <c r="P70" s="255"/>
      <c r="Q70" s="256"/>
      <c r="R70" s="256"/>
      <c r="S70" s="280">
        <f>[2]AMS_raw!S26</f>
        <v>0.34699999999999998</v>
      </c>
      <c r="T70" s="280">
        <f>[2]AMS_raw!T26</f>
        <v>1.0309999999999999</v>
      </c>
      <c r="U70" s="280">
        <f>[2]AMS_raw!U26</f>
        <v>0.42299999999999999</v>
      </c>
      <c r="V70" s="256">
        <f t="shared" si="1"/>
        <v>6.8982245076161774</v>
      </c>
      <c r="W70" s="247">
        <f>[2]AMS_raw!V26</f>
        <v>0.40799999999999997</v>
      </c>
      <c r="X70" s="247">
        <f>[2]AMS_raw!AM26</f>
        <v>23</v>
      </c>
      <c r="Y70" s="247">
        <f>[2]AMS_raw!AN26</f>
        <v>64</v>
      </c>
      <c r="Z70" s="282"/>
      <c r="AA70" s="282"/>
      <c r="AB70" s="282"/>
      <c r="AC70" s="247">
        <f>[2]AMS_raw!AQ26</f>
        <v>267</v>
      </c>
      <c r="AD70" s="247">
        <f>[2]AMS_raw!AR26</f>
        <v>12</v>
      </c>
      <c r="AE70" s="261"/>
      <c r="AF70" s="247">
        <f>[2]AMS_raw!AD26</f>
        <v>39</v>
      </c>
      <c r="AG70" s="247">
        <f>[2]AMS_raw!AE26</f>
        <v>35</v>
      </c>
      <c r="AH70" s="247">
        <f>[2]AMS_raw!AG26</f>
        <v>296</v>
      </c>
      <c r="AI70" s="247">
        <f>[2]AMS_raw!AH26</f>
        <v>18</v>
      </c>
      <c r="AJ70" s="247">
        <f>[2]AMS_raw!AJ26</f>
        <v>184</v>
      </c>
      <c r="AK70" s="247">
        <f>[2]AMS_raw!AK26</f>
        <v>50</v>
      </c>
      <c r="AL70" s="259"/>
      <c r="AM70" s="262">
        <f t="shared" si="2"/>
        <v>39</v>
      </c>
      <c r="AN70" s="7">
        <f t="shared" si="3"/>
        <v>35</v>
      </c>
      <c r="AO70" s="283" t="s">
        <v>1368</v>
      </c>
      <c r="AP70" s="262">
        <f t="shared" si="4"/>
        <v>184</v>
      </c>
      <c r="AQ70">
        <f t="shared" si="5"/>
        <v>50</v>
      </c>
      <c r="AR70" s="7" t="s">
        <v>1372</v>
      </c>
      <c r="AS70"/>
      <c r="AV70" s="259"/>
      <c r="AW70" s="259"/>
      <c r="AY70" s="7" t="s">
        <v>1400</v>
      </c>
      <c r="AZ70" s="53" t="s">
        <v>1418</v>
      </c>
      <c r="BA70" s="406">
        <f>AVERAGE(AP70)+90</f>
        <v>274</v>
      </c>
      <c r="BB70" s="406">
        <f>90-AVERAGE(AQ70)</f>
        <v>40</v>
      </c>
      <c r="BC70" s="142">
        <v>267.39999999999998</v>
      </c>
      <c r="BD70" s="142" t="s">
        <v>1480</v>
      </c>
      <c r="BE70" s="7" t="s">
        <v>39</v>
      </c>
      <c r="BF70" s="7" t="s">
        <v>1423</v>
      </c>
    </row>
    <row r="71" spans="1:106">
      <c r="A71" s="367" t="s">
        <v>1412</v>
      </c>
      <c r="B71" s="247" t="str">
        <f>[2]AMS_raw!A27</f>
        <v>BB35_3</v>
      </c>
      <c r="C71" s="405"/>
      <c r="D71" s="246"/>
      <c r="E71" s="247"/>
      <c r="F71" s="247"/>
      <c r="G71" s="247"/>
      <c r="H71" s="247">
        <v>10</v>
      </c>
      <c r="I71" s="247">
        <v>82</v>
      </c>
      <c r="J71" s="250"/>
      <c r="K71" s="284">
        <f>[2]AMS_raw!G27</f>
        <v>263.7</v>
      </c>
      <c r="L71" s="256">
        <f>[2]AMS_raw!H27</f>
        <v>6.7000000000000004E-2</v>
      </c>
      <c r="M71" s="247">
        <f>[2]AMS_raw!M27</f>
        <v>1.0248999999999999</v>
      </c>
      <c r="N71" s="247">
        <f>[2]AMS_raw!N27</f>
        <v>1.0115000000000001</v>
      </c>
      <c r="O71" s="247">
        <f>[2]AMS_raw!O27</f>
        <v>0.96360000000000001</v>
      </c>
      <c r="P71" s="255"/>
      <c r="Q71" s="256"/>
      <c r="R71" s="256"/>
      <c r="S71" s="280">
        <f>[2]AMS_raw!S27</f>
        <v>0.245</v>
      </c>
      <c r="T71" s="280">
        <f>[2]AMS_raw!T27</f>
        <v>1.036</v>
      </c>
      <c r="U71" s="280">
        <f>[2]AMS_raw!U27</f>
        <v>0.57399999999999995</v>
      </c>
      <c r="V71" s="256">
        <f t="shared" si="1"/>
        <v>5.9810713240316042</v>
      </c>
      <c r="W71" s="247">
        <f>[2]AMS_raw!V27</f>
        <v>0.56299999999999994</v>
      </c>
      <c r="X71" s="247">
        <f>[2]AMS_raw!AM27</f>
        <v>177</v>
      </c>
      <c r="Y71" s="247">
        <f>[2]AMS_raw!AN27</f>
        <v>9</v>
      </c>
      <c r="Z71" s="282"/>
      <c r="AA71" s="282"/>
      <c r="AB71" s="282"/>
      <c r="AC71" s="247">
        <f>[2]AMS_raw!AQ27</f>
        <v>269</v>
      </c>
      <c r="AD71" s="247">
        <f>[2]AMS_raw!AR27</f>
        <v>12</v>
      </c>
      <c r="AE71" s="261"/>
      <c r="AF71" s="247">
        <f>[2]AMS_raw!AD27</f>
        <v>199</v>
      </c>
      <c r="AG71" s="247">
        <f>[2]AMS_raw!AE27</f>
        <v>4</v>
      </c>
      <c r="AH71" s="247">
        <f>[2]AMS_raw!AG27</f>
        <v>290</v>
      </c>
      <c r="AI71" s="247">
        <f>[2]AMS_raw!AH27</f>
        <v>20</v>
      </c>
      <c r="AJ71" s="247">
        <f>[2]AMS_raw!AJ27</f>
        <v>99</v>
      </c>
      <c r="AK71" s="247">
        <f>[2]AMS_raw!AK27</f>
        <v>70</v>
      </c>
      <c r="AL71" s="259"/>
      <c r="AM71" s="262">
        <f t="shared" si="2"/>
        <v>199</v>
      </c>
      <c r="AN71" s="7">
        <f t="shared" si="3"/>
        <v>4</v>
      </c>
      <c r="AO71" t="s">
        <v>1343</v>
      </c>
      <c r="AP71" s="262">
        <f t="shared" si="4"/>
        <v>99</v>
      </c>
      <c r="AQ71">
        <f t="shared" si="5"/>
        <v>70</v>
      </c>
      <c r="AR71" s="7" t="s">
        <v>1345</v>
      </c>
      <c r="AS71"/>
      <c r="AV71" s="259"/>
      <c r="AW71" s="259"/>
      <c r="AY71" s="7" t="s">
        <v>1400</v>
      </c>
      <c r="AZ71" s="53" t="s">
        <v>1424</v>
      </c>
      <c r="BA71" s="5">
        <f>AVERAGE(AP71:AP72)+90</f>
        <v>184.5</v>
      </c>
      <c r="BB71" s="5">
        <f>90-AVERAGE(AQ71:AQ72)</f>
        <v>19</v>
      </c>
      <c r="BC71" s="7">
        <v>267.39999999999998</v>
      </c>
      <c r="BD71" s="7" t="s">
        <v>1480</v>
      </c>
      <c r="BE71" s="7" t="s">
        <v>39</v>
      </c>
      <c r="BF71" s="7" t="s">
        <v>1425</v>
      </c>
    </row>
    <row r="72" spans="1:106" s="356" customFormat="1">
      <c r="A72" s="369" t="s">
        <v>1412</v>
      </c>
      <c r="B72" s="264" t="str">
        <f>[2]AMS_raw!A28</f>
        <v>BB35_4</v>
      </c>
      <c r="C72" s="407"/>
      <c r="D72" s="266"/>
      <c r="E72" s="264"/>
      <c r="F72" s="264"/>
      <c r="G72" s="264"/>
      <c r="H72" s="354">
        <v>10</v>
      </c>
      <c r="I72" s="264">
        <v>82</v>
      </c>
      <c r="J72" s="352"/>
      <c r="K72" s="360">
        <f>[2]AMS_raw!G28</f>
        <v>264.2</v>
      </c>
      <c r="L72" s="272">
        <f>[2]AMS_raw!H28</f>
        <v>0.14199999999999999</v>
      </c>
      <c r="M72" s="264">
        <f>[2]AMS_raw!M28</f>
        <v>1.0227999999999999</v>
      </c>
      <c r="N72" s="264">
        <f>[2]AMS_raw!N28</f>
        <v>1.0105999999999999</v>
      </c>
      <c r="O72" s="264">
        <f>[2]AMS_raw!O28</f>
        <v>0.96660000000000001</v>
      </c>
      <c r="P72" s="271"/>
      <c r="Q72" s="272"/>
      <c r="R72" s="272"/>
      <c r="S72" s="354">
        <f>[2]AMS_raw!S28</f>
        <v>0.24299999999999999</v>
      </c>
      <c r="T72" s="354">
        <f>[2]AMS_raw!T28</f>
        <v>1.0329999999999999</v>
      </c>
      <c r="U72" s="354">
        <f>[2]AMS_raw!U28</f>
        <v>0.57699999999999996</v>
      </c>
      <c r="V72" s="272">
        <f t="shared" si="1"/>
        <v>5.4947203754399609</v>
      </c>
      <c r="W72" s="264">
        <f>[2]AMS_raw!V28</f>
        <v>0.56699999999999995</v>
      </c>
      <c r="X72" s="264">
        <f>[2]AMS_raw!AM28</f>
        <v>176</v>
      </c>
      <c r="Y72" s="264">
        <f>[2]AMS_raw!AN28</f>
        <v>8</v>
      </c>
      <c r="Z72" s="276"/>
      <c r="AA72" s="276"/>
      <c r="AB72" s="276"/>
      <c r="AC72" s="264">
        <f>[2]AMS_raw!AQ28</f>
        <v>267</v>
      </c>
      <c r="AD72" s="264">
        <f>[2]AMS_raw!AR28</f>
        <v>9</v>
      </c>
      <c r="AE72" s="277"/>
      <c r="AF72" s="264">
        <v>197</v>
      </c>
      <c r="AG72" s="264">
        <f>[2]AMS_raw!AE28</f>
        <v>5</v>
      </c>
      <c r="AH72" s="247">
        <f>[2]AMS_raw!AG28</f>
        <v>209</v>
      </c>
      <c r="AI72" s="247">
        <f>[2]AMS_raw!AH28</f>
        <v>16</v>
      </c>
      <c r="AJ72" s="264">
        <f>270-180</f>
        <v>90</v>
      </c>
      <c r="AK72" s="264">
        <v>72</v>
      </c>
      <c r="AL72" s="275"/>
      <c r="AM72" s="355">
        <f t="shared" si="2"/>
        <v>197</v>
      </c>
      <c r="AN72" s="357">
        <f t="shared" si="3"/>
        <v>5</v>
      </c>
      <c r="AO72" s="356" t="s">
        <v>1343</v>
      </c>
      <c r="AP72" s="355">
        <f t="shared" si="4"/>
        <v>90</v>
      </c>
      <c r="AQ72" s="356">
        <f t="shared" si="5"/>
        <v>72</v>
      </c>
      <c r="AR72" s="357" t="s">
        <v>1345</v>
      </c>
      <c r="AV72" s="275"/>
      <c r="AW72" s="275"/>
      <c r="AY72" s="357" t="s">
        <v>1400</v>
      </c>
      <c r="AZ72" s="53" t="s">
        <v>1424</v>
      </c>
      <c r="BA72" s="408"/>
      <c r="BC72" s="357"/>
      <c r="BD72" s="357"/>
      <c r="BE72" s="357"/>
      <c r="BF72" s="357"/>
      <c r="BG72" s="357"/>
      <c r="BH72" s="357"/>
      <c r="BI72" s="357"/>
      <c r="BJ72" s="357"/>
      <c r="BK72" s="357"/>
      <c r="BL72" s="357"/>
      <c r="BM72" s="357"/>
      <c r="BN72" s="357"/>
      <c r="BO72" s="357"/>
      <c r="BP72" s="357"/>
      <c r="BQ72" s="357"/>
      <c r="BR72" s="357"/>
      <c r="BS72" s="357"/>
      <c r="BT72" s="357"/>
      <c r="BU72" s="357"/>
      <c r="BV72" s="357"/>
      <c r="BW72" s="357"/>
      <c r="BX72" s="357"/>
      <c r="BY72" s="357"/>
      <c r="BZ72" s="357"/>
      <c r="CA72" s="357"/>
      <c r="CB72" s="357"/>
      <c r="CC72" s="357"/>
      <c r="CD72" s="357"/>
      <c r="CE72" s="357"/>
      <c r="CF72" s="357"/>
      <c r="CG72" s="357"/>
      <c r="CH72" s="357"/>
      <c r="CI72" s="357"/>
      <c r="CJ72" s="357"/>
      <c r="CK72" s="357"/>
      <c r="CL72" s="357"/>
      <c r="CM72" s="357"/>
      <c r="CN72" s="357"/>
      <c r="CO72" s="357"/>
      <c r="CP72" s="357"/>
      <c r="CQ72" s="357"/>
      <c r="CR72" s="357"/>
      <c r="CS72" s="357"/>
      <c r="CT72" s="357"/>
      <c r="CU72" s="357"/>
      <c r="CV72" s="357"/>
      <c r="CW72" s="357"/>
      <c r="CX72" s="357"/>
      <c r="CY72" s="357"/>
      <c r="CZ72" s="357"/>
      <c r="DA72" s="357"/>
      <c r="DB72" s="357"/>
    </row>
    <row r="73" spans="1:106" s="424" customFormat="1">
      <c r="A73" s="409" t="s">
        <v>1412</v>
      </c>
      <c r="B73" s="410" t="str">
        <f>[2]AMS_raw!A29</f>
        <v>BB36_3</v>
      </c>
      <c r="C73" s="411"/>
      <c r="D73" s="412"/>
      <c r="E73" s="410"/>
      <c r="F73" s="410"/>
      <c r="G73" s="410"/>
      <c r="H73" s="410">
        <v>82</v>
      </c>
      <c r="I73" s="410">
        <v>62</v>
      </c>
      <c r="J73" s="413"/>
      <c r="K73" s="414">
        <f>[2]AMS_raw!G29</f>
        <v>155.5</v>
      </c>
      <c r="L73" s="415">
        <f>[2]AMS_raw!H29</f>
        <v>0.221</v>
      </c>
      <c r="M73" s="410">
        <f>[2]AMS_raw!M29</f>
        <v>1.0274000000000001</v>
      </c>
      <c r="N73" s="410">
        <f>[2]AMS_raw!N29</f>
        <v>1.0052000000000001</v>
      </c>
      <c r="O73" s="410">
        <f>[2]AMS_raw!O29</f>
        <v>0.96740000000000004</v>
      </c>
      <c r="P73" s="416"/>
      <c r="Q73" s="415"/>
      <c r="R73" s="415"/>
      <c r="S73" s="417">
        <f>[2]AMS_raw!S29</f>
        <v>0.45600000000000002</v>
      </c>
      <c r="T73" s="417">
        <f>[2]AMS_raw!T29</f>
        <v>1.016</v>
      </c>
      <c r="U73" s="417">
        <f>[2]AMS_raw!U29</f>
        <v>0.27200000000000002</v>
      </c>
      <c r="V73" s="415">
        <f t="shared" si="1"/>
        <v>5.8399844267081997</v>
      </c>
      <c r="W73" s="410">
        <f>[2]AMS_raw!V29</f>
        <v>0.25800000000000001</v>
      </c>
      <c r="X73" s="410">
        <f>[2]AMS_raw!AM29</f>
        <v>14</v>
      </c>
      <c r="Y73" s="410">
        <f>[2]AMS_raw!AN29</f>
        <v>63</v>
      </c>
      <c r="Z73" s="418"/>
      <c r="AA73" s="418"/>
      <c r="AB73" s="418"/>
      <c r="AC73" s="410">
        <f>[2]AMS_raw!AQ29</f>
        <v>265</v>
      </c>
      <c r="AD73" s="410">
        <f>[2]AMS_raw!AR29</f>
        <v>10</v>
      </c>
      <c r="AE73" s="419"/>
      <c r="AF73" s="410">
        <f>[2]AMS_raw!AD29</f>
        <v>24</v>
      </c>
      <c r="AG73" s="410">
        <f>[2]AMS_raw!AE29</f>
        <v>31</v>
      </c>
      <c r="AH73" s="247">
        <f>[2]AMS_raw!AG29</f>
        <v>281</v>
      </c>
      <c r="AI73" s="247">
        <f>[2]AMS_raw!AH29</f>
        <v>20</v>
      </c>
      <c r="AJ73" s="410">
        <f>[2]AMS_raw!AJ29</f>
        <v>164</v>
      </c>
      <c r="AK73" s="410">
        <f>[2]AMS_raw!AK29</f>
        <v>52</v>
      </c>
      <c r="AL73" s="420"/>
      <c r="AM73" s="421">
        <f t="shared" si="2"/>
        <v>24</v>
      </c>
      <c r="AN73" s="422">
        <f t="shared" si="3"/>
        <v>31</v>
      </c>
      <c r="AO73" s="423" t="s">
        <v>1368</v>
      </c>
      <c r="AP73" s="421">
        <f t="shared" si="4"/>
        <v>164</v>
      </c>
      <c r="AQ73" s="424">
        <f t="shared" si="5"/>
        <v>52</v>
      </c>
      <c r="AR73" s="422" t="s">
        <v>1372</v>
      </c>
      <c r="AV73" s="420"/>
      <c r="AW73" s="420"/>
      <c r="AY73" s="422" t="s">
        <v>1400</v>
      </c>
      <c r="AZ73" s="422" t="s">
        <v>1418</v>
      </c>
      <c r="BA73" s="425">
        <f>AVERAGE(AP73)+90</f>
        <v>254</v>
      </c>
      <c r="BB73" s="426">
        <f>90-AVERAGE(AQ73)</f>
        <v>38</v>
      </c>
      <c r="BC73" s="427">
        <v>267.39999999999998</v>
      </c>
      <c r="BD73" s="427" t="s">
        <v>1480</v>
      </c>
      <c r="BE73" s="428" t="s">
        <v>1500</v>
      </c>
      <c r="BF73" s="422"/>
      <c r="BG73" s="422"/>
      <c r="BH73" s="422"/>
      <c r="BI73" s="422"/>
      <c r="BJ73" s="422"/>
      <c r="BK73" s="422"/>
      <c r="BL73" s="422"/>
      <c r="BM73" s="422"/>
      <c r="BN73" s="422"/>
      <c r="BO73" s="422"/>
      <c r="BP73" s="422"/>
      <c r="BQ73" s="422"/>
      <c r="BR73" s="422"/>
      <c r="BS73" s="422"/>
      <c r="BT73" s="422"/>
      <c r="BU73" s="422"/>
      <c r="BV73" s="422"/>
      <c r="BW73" s="422"/>
      <c r="BX73" s="422"/>
      <c r="BY73" s="422"/>
      <c r="BZ73" s="422"/>
      <c r="CA73" s="422"/>
      <c r="CB73" s="422"/>
      <c r="CC73" s="422"/>
      <c r="CD73" s="422"/>
      <c r="CE73" s="422"/>
      <c r="CF73" s="422"/>
      <c r="CG73" s="422"/>
      <c r="CH73" s="422"/>
      <c r="CI73" s="422"/>
      <c r="CJ73" s="422"/>
      <c r="CK73" s="422"/>
      <c r="CL73" s="422"/>
      <c r="CM73" s="422"/>
      <c r="CN73" s="422"/>
      <c r="CO73" s="422"/>
      <c r="CP73" s="422"/>
      <c r="CQ73" s="422"/>
      <c r="CR73" s="422"/>
      <c r="CS73" s="422"/>
      <c r="CT73" s="422"/>
      <c r="CU73" s="422"/>
      <c r="CV73" s="422"/>
      <c r="CW73" s="422"/>
      <c r="CX73" s="422"/>
      <c r="CY73" s="422"/>
      <c r="CZ73" s="422"/>
      <c r="DA73" s="422"/>
      <c r="DB73" s="422"/>
    </row>
    <row r="74" spans="1:106">
      <c r="A74" s="367" t="s">
        <v>1412</v>
      </c>
      <c r="B74" s="247" t="str">
        <f>[2]AMS_raw!A30</f>
        <v>BB37_3</v>
      </c>
      <c r="C74" s="405"/>
      <c r="D74" s="246"/>
      <c r="E74" s="247"/>
      <c r="F74" s="247"/>
      <c r="G74" s="247"/>
      <c r="H74" s="247">
        <v>258</v>
      </c>
      <c r="I74" s="247">
        <v>27</v>
      </c>
      <c r="J74" s="250"/>
      <c r="K74" s="284">
        <f>[2]AMS_raw!G30</f>
        <v>250.8</v>
      </c>
      <c r="L74" s="256">
        <f>[2]AMS_raw!H30</f>
        <v>0.12</v>
      </c>
      <c r="M74" s="247">
        <f>[2]AMS_raw!M30</f>
        <v>1.0219</v>
      </c>
      <c r="N74" s="247">
        <f>[2]AMS_raw!N30</f>
        <v>1.0045999999999999</v>
      </c>
      <c r="O74" s="247">
        <f>[2]AMS_raw!O30</f>
        <v>0.97350000000000003</v>
      </c>
      <c r="P74" s="255"/>
      <c r="Q74" s="256"/>
      <c r="R74" s="256"/>
      <c r="S74" s="280">
        <f>[2]AMS_raw!S30</f>
        <v>0.436</v>
      </c>
      <c r="T74" s="280">
        <f>[2]AMS_raw!T30</f>
        <v>1.014</v>
      </c>
      <c r="U74" s="280">
        <f>[2]AMS_raw!U30</f>
        <v>0.29599999999999999</v>
      </c>
      <c r="V74" s="256">
        <f t="shared" si="1"/>
        <v>4.7362755651237887</v>
      </c>
      <c r="W74" s="247">
        <f>[2]AMS_raw!V30</f>
        <v>0.28499999999999998</v>
      </c>
      <c r="X74" s="247">
        <f>[2]AMS_raw!AM30</f>
        <v>76</v>
      </c>
      <c r="Y74" s="247">
        <f>[2]AMS_raw!AN30</f>
        <v>64</v>
      </c>
      <c r="Z74" s="282"/>
      <c r="AA74" s="282"/>
      <c r="AB74" s="282"/>
      <c r="AC74" s="247">
        <f>[2]AMS_raw!AQ30</f>
        <v>186</v>
      </c>
      <c r="AD74" s="247">
        <f>[2]AMS_raw!AR30</f>
        <v>9</v>
      </c>
      <c r="AE74" s="261"/>
      <c r="AF74" s="247">
        <f>[2]AMS_raw!AD30</f>
        <v>242</v>
      </c>
      <c r="AG74" s="247">
        <f>[2]AMS_raw!AE30</f>
        <v>84</v>
      </c>
      <c r="AH74" s="247">
        <f>[2]AMS_raw!AG30</f>
        <v>357</v>
      </c>
      <c r="AI74" s="247">
        <f>[2]AMS_raw!AH30</f>
        <v>3</v>
      </c>
      <c r="AJ74" s="247">
        <f>[2]AMS_raw!AJ30</f>
        <v>88</v>
      </c>
      <c r="AK74" s="247">
        <f>[2]AMS_raw!AK30</f>
        <v>6</v>
      </c>
      <c r="AL74" s="259"/>
      <c r="AM74" s="262">
        <f t="shared" si="2"/>
        <v>242</v>
      </c>
      <c r="AN74" s="7">
        <f t="shared" si="3"/>
        <v>84</v>
      </c>
      <c r="AO74" t="s">
        <v>1343</v>
      </c>
      <c r="AP74" s="262">
        <f t="shared" si="4"/>
        <v>88</v>
      </c>
      <c r="AQ74">
        <f t="shared" si="5"/>
        <v>6</v>
      </c>
      <c r="AR74" s="7" t="s">
        <v>1345</v>
      </c>
      <c r="AS74"/>
      <c r="AV74" s="259"/>
      <c r="AW74" s="259"/>
      <c r="AY74" s="7" t="s">
        <v>1400</v>
      </c>
      <c r="AZ74" s="53" t="s">
        <v>1426</v>
      </c>
      <c r="BA74" s="5">
        <f>AVERAGE(AP74:AP76)+90</f>
        <v>178.66666666666669</v>
      </c>
      <c r="BB74" s="5">
        <f>90-AVERAGE(AQ74:AQ76)</f>
        <v>84</v>
      </c>
      <c r="BC74" s="7">
        <v>284.39999999999998</v>
      </c>
      <c r="BD74" s="7" t="s">
        <v>1489</v>
      </c>
      <c r="BE74" s="7" t="s">
        <v>1500</v>
      </c>
    </row>
    <row r="75" spans="1:106">
      <c r="A75" s="367" t="s">
        <v>1412</v>
      </c>
      <c r="B75" s="247" t="str">
        <f>[2]AMS_raw!A31</f>
        <v>BB37_4</v>
      </c>
      <c r="C75" s="405"/>
      <c r="D75" s="246"/>
      <c r="E75" s="247"/>
      <c r="F75" s="247"/>
      <c r="G75" s="247"/>
      <c r="H75" s="247">
        <v>258</v>
      </c>
      <c r="I75" s="247">
        <v>27</v>
      </c>
      <c r="J75" s="250"/>
      <c r="K75" s="284">
        <f>[2]AMS_raw!G31</f>
        <v>258.60000000000002</v>
      </c>
      <c r="L75" s="256">
        <f>[2]AMS_raw!H31</f>
        <v>8.1000000000000003E-2</v>
      </c>
      <c r="M75" s="247">
        <f>[2]AMS_raw!M31</f>
        <v>1.0182</v>
      </c>
      <c r="N75" s="247">
        <f>[2]AMS_raw!N31</f>
        <v>1.0043</v>
      </c>
      <c r="O75" s="247">
        <f>[2]AMS_raw!O31</f>
        <v>0.97750000000000004</v>
      </c>
      <c r="P75" s="255"/>
      <c r="Q75" s="256"/>
      <c r="R75" s="256"/>
      <c r="S75" s="280">
        <f>[2]AMS_raw!S31</f>
        <v>0.41099999999999998</v>
      </c>
      <c r="T75" s="280">
        <f>[2]AMS_raw!T31</f>
        <v>1.0129999999999999</v>
      </c>
      <c r="U75" s="280">
        <f>[2]AMS_raw!U31</f>
        <v>0.32700000000000001</v>
      </c>
      <c r="V75" s="256">
        <f t="shared" si="1"/>
        <v>3.9972500491062619</v>
      </c>
      <c r="W75" s="247">
        <f>[2]AMS_raw!V31</f>
        <v>0.318</v>
      </c>
      <c r="X75" s="247">
        <f>[2]AMS_raw!AM31</f>
        <v>79</v>
      </c>
      <c r="Y75" s="247">
        <f>[2]AMS_raw!AN31</f>
        <v>64</v>
      </c>
      <c r="Z75" s="282"/>
      <c r="AA75" s="282"/>
      <c r="AB75" s="282"/>
      <c r="AC75" s="247">
        <f>[2]AMS_raw!AQ31</f>
        <v>185</v>
      </c>
      <c r="AD75" s="247">
        <f>[2]AMS_raw!AR31</f>
        <v>7</v>
      </c>
      <c r="AE75" s="261"/>
      <c r="AF75" s="247">
        <f>[2]AMS_raw!AD31</f>
        <v>238</v>
      </c>
      <c r="AG75" s="247">
        <f>[2]AMS_raw!AE31</f>
        <v>85</v>
      </c>
      <c r="AH75" s="247">
        <f>[2]AMS_raw!AG31</f>
        <v>356</v>
      </c>
      <c r="AI75" s="247">
        <f>[2]AMS_raw!AH31</f>
        <v>2</v>
      </c>
      <c r="AJ75" s="247">
        <f>[2]AMS_raw!AJ31</f>
        <v>86</v>
      </c>
      <c r="AK75" s="247">
        <f>[2]AMS_raw!AK31</f>
        <v>4</v>
      </c>
      <c r="AL75" s="259"/>
      <c r="AM75" s="262">
        <f t="shared" si="2"/>
        <v>238</v>
      </c>
      <c r="AN75" s="7">
        <f t="shared" si="3"/>
        <v>85</v>
      </c>
      <c r="AO75" t="s">
        <v>1343</v>
      </c>
      <c r="AP75" s="262">
        <f t="shared" si="4"/>
        <v>86</v>
      </c>
      <c r="AQ75">
        <f t="shared" si="5"/>
        <v>4</v>
      </c>
      <c r="AR75" s="7" t="s">
        <v>1345</v>
      </c>
      <c r="AS75"/>
      <c r="AV75" s="259"/>
      <c r="AW75" s="259"/>
      <c r="AY75" s="7" t="s">
        <v>1400</v>
      </c>
      <c r="AZ75" s="53" t="s">
        <v>1426</v>
      </c>
      <c r="BA75" s="5"/>
      <c r="BB75" s="5"/>
    </row>
    <row r="76" spans="1:106" s="356" customFormat="1">
      <c r="A76" s="369" t="s">
        <v>1412</v>
      </c>
      <c r="B76" s="264" t="str">
        <f>[2]AMS_raw!A32</f>
        <v>BB37_5</v>
      </c>
      <c r="C76" s="407"/>
      <c r="D76" s="266"/>
      <c r="E76" s="264"/>
      <c r="F76" s="264"/>
      <c r="G76" s="264"/>
      <c r="H76" s="264">
        <v>258</v>
      </c>
      <c r="I76" s="264">
        <v>27</v>
      </c>
      <c r="J76" s="352"/>
      <c r="K76" s="360">
        <f>[2]AMS_raw!G32</f>
        <v>253.9</v>
      </c>
      <c r="L76" s="272">
        <f>[2]AMS_raw!H32</f>
        <v>9.4E-2</v>
      </c>
      <c r="M76" s="264">
        <f>[2]AMS_raw!M32</f>
        <v>1.0244</v>
      </c>
      <c r="N76" s="264">
        <f>[2]AMS_raw!N32</f>
        <v>1.0064</v>
      </c>
      <c r="O76" s="264">
        <f>[2]AMS_raw!O32</f>
        <v>0.96919999999999995</v>
      </c>
      <c r="P76" s="271"/>
      <c r="Q76" s="272"/>
      <c r="R76" s="272"/>
      <c r="S76" s="354">
        <f>[2]AMS_raw!S32</f>
        <v>0.39100000000000001</v>
      </c>
      <c r="T76" s="354">
        <f>[2]AMS_raw!T32</f>
        <v>1.02</v>
      </c>
      <c r="U76" s="354">
        <f>[2]AMS_raw!U32</f>
        <v>0.35799999999999998</v>
      </c>
      <c r="V76" s="272">
        <f t="shared" si="1"/>
        <v>5.388520109332295</v>
      </c>
      <c r="W76" s="264">
        <f>[2]AMS_raw!V32</f>
        <v>0.34599999999999997</v>
      </c>
      <c r="X76" s="264">
        <f>[2]AMS_raw!AM32</f>
        <v>74</v>
      </c>
      <c r="Y76" s="264">
        <f>[2]AMS_raw!AN32</f>
        <v>61</v>
      </c>
      <c r="Z76" s="276"/>
      <c r="AA76" s="276"/>
      <c r="AB76" s="276"/>
      <c r="AC76" s="264">
        <f>[2]AMS_raw!AQ32</f>
        <v>188</v>
      </c>
      <c r="AD76" s="264">
        <f>[2]AMS_raw!AR32</f>
        <v>13</v>
      </c>
      <c r="AE76" s="277"/>
      <c r="AF76" s="264">
        <f>[2]AMS_raw!AD32</f>
        <v>269</v>
      </c>
      <c r="AG76" s="264">
        <f>[2]AMS_raw!AE32</f>
        <v>82</v>
      </c>
      <c r="AH76" s="247">
        <f>[2]AMS_raw!AG32</f>
        <v>2</v>
      </c>
      <c r="AI76" s="247">
        <f>[2]AMS_raw!AH32</f>
        <v>0</v>
      </c>
      <c r="AJ76" s="264">
        <f>[2]AMS_raw!AJ32</f>
        <v>92</v>
      </c>
      <c r="AK76" s="264">
        <f>[2]AMS_raw!AK32</f>
        <v>8</v>
      </c>
      <c r="AL76" s="275"/>
      <c r="AM76" s="355">
        <f t="shared" si="2"/>
        <v>269</v>
      </c>
      <c r="AN76" s="357">
        <f t="shared" si="3"/>
        <v>82</v>
      </c>
      <c r="AO76" s="356" t="s">
        <v>1343</v>
      </c>
      <c r="AP76" s="355">
        <f t="shared" si="4"/>
        <v>92</v>
      </c>
      <c r="AQ76" s="356">
        <f t="shared" si="5"/>
        <v>8</v>
      </c>
      <c r="AR76" s="357" t="s">
        <v>1345</v>
      </c>
      <c r="AV76" s="275"/>
      <c r="AW76" s="275"/>
      <c r="AY76" s="357" t="s">
        <v>1400</v>
      </c>
      <c r="AZ76" s="53" t="s">
        <v>1426</v>
      </c>
      <c r="BA76" s="371"/>
      <c r="BB76" s="371"/>
      <c r="BC76" s="357"/>
      <c r="BD76" s="357"/>
      <c r="BE76" s="357"/>
      <c r="BF76" s="357"/>
      <c r="BG76" s="357"/>
      <c r="BH76" s="357"/>
      <c r="BI76" s="357"/>
      <c r="BJ76" s="357"/>
      <c r="BK76" s="357"/>
      <c r="BL76" s="357"/>
      <c r="BM76" s="357"/>
      <c r="BN76" s="357"/>
      <c r="BO76" s="357"/>
      <c r="BP76" s="357"/>
      <c r="BQ76" s="357"/>
      <c r="BR76" s="357"/>
      <c r="BS76" s="357"/>
      <c r="BT76" s="357"/>
      <c r="BU76" s="357"/>
      <c r="BV76" s="357"/>
      <c r="BW76" s="357"/>
      <c r="BX76" s="357"/>
      <c r="BY76" s="357"/>
      <c r="BZ76" s="357"/>
      <c r="CA76" s="357"/>
      <c r="CB76" s="357"/>
      <c r="CC76" s="357"/>
      <c r="CD76" s="357"/>
      <c r="CE76" s="357"/>
      <c r="CF76" s="357"/>
      <c r="CG76" s="357"/>
      <c r="CH76" s="357"/>
      <c r="CI76" s="357"/>
      <c r="CJ76" s="357"/>
      <c r="CK76" s="357"/>
      <c r="CL76" s="357"/>
      <c r="CM76" s="357"/>
      <c r="CN76" s="357"/>
      <c r="CO76" s="357"/>
      <c r="CP76" s="357"/>
      <c r="CQ76" s="357"/>
      <c r="CR76" s="357"/>
      <c r="CS76" s="357"/>
      <c r="CT76" s="357"/>
      <c r="CU76" s="357"/>
      <c r="CV76" s="357"/>
      <c r="CW76" s="357"/>
      <c r="CX76" s="357"/>
      <c r="CY76" s="357"/>
      <c r="CZ76" s="357"/>
      <c r="DA76" s="357"/>
      <c r="DB76" s="357"/>
    </row>
    <row r="77" spans="1:106">
      <c r="A77" s="367" t="s">
        <v>1412</v>
      </c>
      <c r="B77" s="247" t="str">
        <f>[2]AMS_raw!A33</f>
        <v>BB38_2</v>
      </c>
      <c r="C77" s="405"/>
      <c r="D77" s="246"/>
      <c r="E77" s="247"/>
      <c r="F77" s="247"/>
      <c r="G77" s="247"/>
      <c r="H77" s="247">
        <v>6</v>
      </c>
      <c r="I77" s="247">
        <v>42</v>
      </c>
      <c r="J77" s="250"/>
      <c r="K77" s="279">
        <f>[2]AMS_raw!G33</f>
        <v>338</v>
      </c>
      <c r="L77" s="256">
        <f>[2]AMS_raw!H33</f>
        <v>0.106</v>
      </c>
      <c r="M77" s="247">
        <f>[2]AMS_raw!M33</f>
        <v>1.0199</v>
      </c>
      <c r="N77" s="247">
        <f>[2]AMS_raw!N33</f>
        <v>1.0065</v>
      </c>
      <c r="O77" s="247">
        <f>[2]AMS_raw!O33</f>
        <v>0.97370000000000001</v>
      </c>
      <c r="P77" s="255"/>
      <c r="Q77" s="256"/>
      <c r="R77" s="256"/>
      <c r="S77" s="280">
        <f>[2]AMS_raw!S33</f>
        <v>0.33900000000000002</v>
      </c>
      <c r="T77" s="280">
        <f>[2]AMS_raw!T33</f>
        <v>1.02</v>
      </c>
      <c r="U77" s="280">
        <f>[2]AMS_raw!U33</f>
        <v>0.43</v>
      </c>
      <c r="V77" s="256">
        <f t="shared" si="1"/>
        <v>4.5298558682223762</v>
      </c>
      <c r="W77" s="247">
        <f>[2]AMS_raw!V33</f>
        <v>0.42</v>
      </c>
      <c r="X77" s="247">
        <f>[2]AMS_raw!AM33</f>
        <v>264</v>
      </c>
      <c r="Y77" s="247">
        <f>[2]AMS_raw!AN33</f>
        <v>32</v>
      </c>
      <c r="Z77" s="282"/>
      <c r="AA77" s="282"/>
      <c r="AB77" s="282"/>
      <c r="AC77" s="247">
        <f>[2]AMS_raw!AQ33</f>
        <v>168</v>
      </c>
      <c r="AD77" s="247">
        <f>[2]AMS_raw!AR33</f>
        <v>10</v>
      </c>
      <c r="AE77" s="261"/>
      <c r="AF77" s="247">
        <f>[2]AMS_raw!AD33</f>
        <v>91</v>
      </c>
      <c r="AG77" s="247">
        <f>[2]AMS_raw!AE33</f>
        <v>9</v>
      </c>
      <c r="AH77" s="247">
        <f>[2]AMS_raw!AG33</f>
        <v>331</v>
      </c>
      <c r="AI77" s="247">
        <f>[2]AMS_raw!AH33</f>
        <v>72</v>
      </c>
      <c r="AJ77" s="247">
        <f>[2]AMS_raw!AJ33</f>
        <v>184</v>
      </c>
      <c r="AK77" s="247">
        <f>[2]AMS_raw!AK33</f>
        <v>15</v>
      </c>
      <c r="AL77" s="259"/>
      <c r="AM77" s="262">
        <f t="shared" si="2"/>
        <v>91</v>
      </c>
      <c r="AN77" s="7">
        <f t="shared" si="3"/>
        <v>9</v>
      </c>
      <c r="AO77" t="s">
        <v>1343</v>
      </c>
      <c r="AP77" s="262">
        <f t="shared" si="4"/>
        <v>184</v>
      </c>
      <c r="AQ77">
        <f t="shared" si="5"/>
        <v>15</v>
      </c>
      <c r="AR77" s="7" t="s">
        <v>1345</v>
      </c>
      <c r="AS77"/>
      <c r="AV77" s="259"/>
      <c r="AW77" s="259"/>
      <c r="AY77" s="7" t="s">
        <v>1400</v>
      </c>
      <c r="AZ77" s="53" t="s">
        <v>1373</v>
      </c>
      <c r="BA77" s="285">
        <f>AVERAGE(AP77:AP79)+90</f>
        <v>274.33333333333337</v>
      </c>
      <c r="BB77" s="285">
        <f>90-AVERAGE(AQ77:AQ79)</f>
        <v>77.333333333333329</v>
      </c>
      <c r="BC77" s="7">
        <v>284.39999999999998</v>
      </c>
      <c r="BD77" s="7" t="s">
        <v>1490</v>
      </c>
      <c r="BE77" s="7" t="s">
        <v>1501</v>
      </c>
    </row>
    <row r="78" spans="1:106">
      <c r="A78" s="367" t="s">
        <v>1412</v>
      </c>
      <c r="B78" s="247" t="str">
        <f>[2]AMS_raw!A34</f>
        <v>BB38_3</v>
      </c>
      <c r="C78" s="405"/>
      <c r="D78" s="246"/>
      <c r="E78" s="247"/>
      <c r="F78" s="247"/>
      <c r="G78" s="247"/>
      <c r="H78" s="247">
        <v>6</v>
      </c>
      <c r="I78" s="247">
        <v>42</v>
      </c>
      <c r="J78" s="250"/>
      <c r="K78" s="279">
        <f>[2]AMS_raw!G34</f>
        <v>353.1</v>
      </c>
      <c r="L78" s="256">
        <f>[2]AMS_raw!H34</f>
        <v>0.1</v>
      </c>
      <c r="M78" s="247">
        <f>[2]AMS_raw!M34</f>
        <v>1.0203</v>
      </c>
      <c r="N78" s="247">
        <f>[2]AMS_raw!N34</f>
        <v>1.0046999999999999</v>
      </c>
      <c r="O78" s="247">
        <f>[2]AMS_raw!O34</f>
        <v>0.97499999999999998</v>
      </c>
      <c r="P78" s="255"/>
      <c r="Q78" s="256"/>
      <c r="R78" s="256"/>
      <c r="S78" s="280">
        <f>[2]AMS_raw!S34</f>
        <v>0.41599999999999998</v>
      </c>
      <c r="T78" s="280">
        <f>[2]AMS_raw!T34</f>
        <v>1.0149999999999999</v>
      </c>
      <c r="U78" s="280">
        <f>[2]AMS_raw!U34</f>
        <v>0.32200000000000001</v>
      </c>
      <c r="V78" s="256">
        <f t="shared" si="1"/>
        <v>4.4398706262863872</v>
      </c>
      <c r="W78" s="247">
        <f>[2]AMS_raw!V34</f>
        <v>0.312</v>
      </c>
      <c r="X78" s="247">
        <f>[2]AMS_raw!AM34</f>
        <v>266</v>
      </c>
      <c r="Y78" s="247">
        <f>[2]AMS_raw!AN34</f>
        <v>35</v>
      </c>
      <c r="Z78" s="282"/>
      <c r="AA78" s="282"/>
      <c r="AB78" s="282"/>
      <c r="AC78" s="247">
        <f>[2]AMS_raw!AQ34</f>
        <v>169</v>
      </c>
      <c r="AD78" s="247">
        <f>[2]AMS_raw!AR34</f>
        <v>9</v>
      </c>
      <c r="AE78" s="261"/>
      <c r="AF78" s="247">
        <f>[2]AMS_raw!AD34</f>
        <v>93</v>
      </c>
      <c r="AG78" s="247">
        <f>[2]AMS_raw!AE34</f>
        <v>7</v>
      </c>
      <c r="AH78" s="247">
        <f>[2]AMS_raw!AG34</f>
        <v>336</v>
      </c>
      <c r="AI78" s="247">
        <f>[2]AMS_raw!AH34</f>
        <v>74</v>
      </c>
      <c r="AJ78" s="247">
        <f>[2]AMS_raw!AJ34</f>
        <v>185</v>
      </c>
      <c r="AK78" s="247">
        <f>[2]AMS_raw!AK34</f>
        <v>14</v>
      </c>
      <c r="AL78" s="259"/>
      <c r="AM78" s="262">
        <f t="shared" si="2"/>
        <v>93</v>
      </c>
      <c r="AN78" s="7">
        <f t="shared" si="3"/>
        <v>7</v>
      </c>
      <c r="AO78" t="s">
        <v>1343</v>
      </c>
      <c r="AP78" s="262">
        <f t="shared" si="4"/>
        <v>185</v>
      </c>
      <c r="AQ78">
        <f t="shared" si="5"/>
        <v>14</v>
      </c>
      <c r="AR78" s="7" t="s">
        <v>1345</v>
      </c>
      <c r="AS78"/>
      <c r="AV78" s="259"/>
      <c r="AW78" s="259"/>
      <c r="AY78" s="7" t="s">
        <v>1400</v>
      </c>
      <c r="AZ78" s="53" t="s">
        <v>1373</v>
      </c>
      <c r="BA78" s="5"/>
      <c r="BB78" s="5"/>
    </row>
    <row r="79" spans="1:106" s="356" customFormat="1">
      <c r="A79" s="369" t="s">
        <v>1412</v>
      </c>
      <c r="B79" s="264" t="str">
        <f>[2]AMS_raw!A35</f>
        <v>BB38_4</v>
      </c>
      <c r="C79" s="407"/>
      <c r="D79" s="266"/>
      <c r="E79" s="264"/>
      <c r="F79" s="264"/>
      <c r="G79" s="264"/>
      <c r="H79" s="264">
        <v>6</v>
      </c>
      <c r="I79" s="264">
        <v>42</v>
      </c>
      <c r="J79" s="352"/>
      <c r="K79" s="353">
        <f>[2]AMS_raw!G35</f>
        <v>361.9</v>
      </c>
      <c r="L79" s="272">
        <f>[2]AMS_raw!H35</f>
        <v>8.5999999999999993E-2</v>
      </c>
      <c r="M79" s="264">
        <f>[2]AMS_raw!M35</f>
        <v>1.0224</v>
      </c>
      <c r="N79" s="264">
        <f>[2]AMS_raw!N35</f>
        <v>1.0053000000000001</v>
      </c>
      <c r="O79" s="264">
        <f>[2]AMS_raw!O35</f>
        <v>0.97219999999999995</v>
      </c>
      <c r="P79" s="271"/>
      <c r="Q79" s="272"/>
      <c r="R79" s="272"/>
      <c r="S79" s="354">
        <f>[2]AMS_raw!S35</f>
        <v>0.41</v>
      </c>
      <c r="T79" s="354">
        <f>[2]AMS_raw!T35</f>
        <v>1.0169999999999999</v>
      </c>
      <c r="U79" s="354">
        <f>[2]AMS_raw!U35</f>
        <v>0.33100000000000002</v>
      </c>
      <c r="V79" s="272">
        <f t="shared" si="1"/>
        <v>4.9100156494522711</v>
      </c>
      <c r="W79" s="264">
        <f>[2]AMS_raw!V35</f>
        <v>0.31900000000000001</v>
      </c>
      <c r="X79" s="264">
        <f>[2]AMS_raw!AM35</f>
        <v>266</v>
      </c>
      <c r="Y79" s="264">
        <f>[2]AMS_raw!AN35</f>
        <v>37</v>
      </c>
      <c r="Z79" s="276"/>
      <c r="AA79" s="276"/>
      <c r="AB79" s="276"/>
      <c r="AC79" s="264">
        <f>[2]AMS_raw!AQ35</f>
        <v>173</v>
      </c>
      <c r="AD79" s="264">
        <f>[2]AMS_raw!AR35</f>
        <v>5</v>
      </c>
      <c r="AE79" s="277"/>
      <c r="AF79" s="264">
        <f>[2]AMS_raw!AD35</f>
        <v>93</v>
      </c>
      <c r="AG79" s="264">
        <f>[2]AMS_raw!AE35</f>
        <v>5</v>
      </c>
      <c r="AH79" s="247">
        <f>[2]AMS_raw!AG35</f>
        <v>332</v>
      </c>
      <c r="AI79" s="247">
        <f>[2]AMS_raw!AH35</f>
        <v>80</v>
      </c>
      <c r="AJ79" s="264">
        <f>[2]AMS_raw!AJ35</f>
        <v>184</v>
      </c>
      <c r="AK79" s="264">
        <f>[2]AMS_raw!AK35</f>
        <v>9</v>
      </c>
      <c r="AL79" s="275"/>
      <c r="AM79" s="355">
        <f t="shared" si="2"/>
        <v>93</v>
      </c>
      <c r="AN79" s="357">
        <f t="shared" si="3"/>
        <v>5</v>
      </c>
      <c r="AO79" s="356" t="s">
        <v>1343</v>
      </c>
      <c r="AP79" s="355">
        <f t="shared" si="4"/>
        <v>184</v>
      </c>
      <c r="AQ79" s="356">
        <f t="shared" si="5"/>
        <v>9</v>
      </c>
      <c r="AR79" s="357" t="s">
        <v>1345</v>
      </c>
      <c r="AV79" s="275"/>
      <c r="AW79" s="275"/>
      <c r="AY79" s="357" t="s">
        <v>1400</v>
      </c>
      <c r="AZ79" s="53" t="s">
        <v>1373</v>
      </c>
      <c r="BA79" s="371"/>
      <c r="BB79" s="371"/>
      <c r="BC79" s="357"/>
      <c r="BD79" s="357"/>
      <c r="BE79" s="357"/>
      <c r="BF79" s="357"/>
      <c r="BG79" s="357"/>
      <c r="BH79" s="357"/>
      <c r="BI79" s="357"/>
      <c r="BJ79" s="357"/>
      <c r="BK79" s="357"/>
      <c r="BL79" s="357"/>
      <c r="BM79" s="357"/>
      <c r="BN79" s="357"/>
      <c r="BO79" s="357"/>
      <c r="BP79" s="357"/>
      <c r="BQ79" s="357"/>
      <c r="BR79" s="357"/>
      <c r="BS79" s="357"/>
      <c r="BT79" s="357"/>
      <c r="BU79" s="357"/>
      <c r="BV79" s="357"/>
      <c r="BW79" s="357"/>
      <c r="BX79" s="357"/>
      <c r="BY79" s="357"/>
      <c r="BZ79" s="357"/>
      <c r="CA79" s="357"/>
      <c r="CB79" s="357"/>
      <c r="CC79" s="357"/>
      <c r="CD79" s="357"/>
      <c r="CE79" s="357"/>
      <c r="CF79" s="357"/>
      <c r="CG79" s="357"/>
      <c r="CH79" s="357"/>
      <c r="CI79" s="357"/>
      <c r="CJ79" s="357"/>
      <c r="CK79" s="357"/>
      <c r="CL79" s="357"/>
      <c r="CM79" s="357"/>
      <c r="CN79" s="357"/>
      <c r="CO79" s="357"/>
      <c r="CP79" s="357"/>
      <c r="CQ79" s="357"/>
      <c r="CR79" s="357"/>
      <c r="CS79" s="357"/>
      <c r="CT79" s="357"/>
      <c r="CU79" s="357"/>
      <c r="CV79" s="357"/>
      <c r="CW79" s="357"/>
      <c r="CX79" s="357"/>
      <c r="CY79" s="357"/>
      <c r="CZ79" s="357"/>
      <c r="DA79" s="357"/>
      <c r="DB79" s="357"/>
    </row>
    <row r="80" spans="1:106" s="283" customFormat="1">
      <c r="A80" s="367" t="s">
        <v>1412</v>
      </c>
      <c r="B80" s="288" t="s">
        <v>1427</v>
      </c>
      <c r="C80" s="350">
        <v>19.984999999999999</v>
      </c>
      <c r="D80" s="289">
        <v>3</v>
      </c>
      <c r="E80" s="290">
        <v>0</v>
      </c>
      <c r="F80" s="290">
        <v>3</v>
      </c>
      <c r="G80" s="290">
        <v>90</v>
      </c>
      <c r="H80" s="291">
        <v>222.4</v>
      </c>
      <c r="I80" s="292">
        <v>52</v>
      </c>
      <c r="J80" s="250">
        <f t="shared" si="0"/>
        <v>42.400000000000006</v>
      </c>
      <c r="K80" s="248">
        <f>292.6</f>
        <v>292.60000000000002</v>
      </c>
      <c r="L80" s="293">
        <v>2.3E-2</v>
      </c>
      <c r="M80" s="294">
        <v>1.0213000000000001</v>
      </c>
      <c r="N80" s="295">
        <v>1.0051000000000001</v>
      </c>
      <c r="O80" s="295">
        <v>0.97360000000000002</v>
      </c>
      <c r="P80" s="296">
        <v>1.0489999999999999</v>
      </c>
      <c r="Q80" s="297">
        <v>1.016</v>
      </c>
      <c r="R80" s="297">
        <v>1.032</v>
      </c>
      <c r="S80" s="257">
        <v>0.40899999999999997</v>
      </c>
      <c r="T80" s="257">
        <v>1.016</v>
      </c>
      <c r="U80" s="257">
        <v>0.33200000000000002</v>
      </c>
      <c r="V80" s="297">
        <f t="shared" si="1"/>
        <v>4.6705179672965897</v>
      </c>
      <c r="W80" s="293">
        <v>0.32100000000000001</v>
      </c>
      <c r="X80" s="298">
        <v>202</v>
      </c>
      <c r="Y80" s="298">
        <v>71</v>
      </c>
      <c r="Z80" s="299">
        <v>1.6</v>
      </c>
      <c r="AA80" s="299">
        <v>351</v>
      </c>
      <c r="AB80" s="299">
        <v>17</v>
      </c>
      <c r="AC80" s="298">
        <v>84</v>
      </c>
      <c r="AD80" s="298">
        <v>9</v>
      </c>
      <c r="AE80" s="300">
        <v>0.6</v>
      </c>
      <c r="AF80" s="283">
        <v>112.2</v>
      </c>
      <c r="AG80" s="283">
        <v>29.1</v>
      </c>
      <c r="AJ80" s="283">
        <v>300.3</v>
      </c>
      <c r="AK80" s="283">
        <v>60.5</v>
      </c>
      <c r="AL80" s="298" t="s">
        <v>1361</v>
      </c>
      <c r="AM80" s="304">
        <f t="shared" si="2"/>
        <v>112.2</v>
      </c>
      <c r="AN80" s="305">
        <f t="shared" si="3"/>
        <v>29.1</v>
      </c>
      <c r="AO80" s="283" t="s">
        <v>1368</v>
      </c>
      <c r="AP80" s="304">
        <f t="shared" si="4"/>
        <v>300.3</v>
      </c>
      <c r="AQ80" s="305">
        <f t="shared" si="5"/>
        <v>60.5</v>
      </c>
      <c r="AR80" s="7" t="s">
        <v>1372</v>
      </c>
      <c r="AS80" s="7">
        <v>120.3</v>
      </c>
      <c r="AT80" s="7">
        <v>60.5</v>
      </c>
      <c r="AU80" s="7"/>
      <c r="AV80" s="302">
        <v>112.2</v>
      </c>
      <c r="AW80" s="302">
        <v>29.1</v>
      </c>
      <c r="AX80" s="7" t="s">
        <v>1368</v>
      </c>
      <c r="AY80" s="7" t="s">
        <v>1400</v>
      </c>
      <c r="AZ80" s="53" t="s">
        <v>1370</v>
      </c>
      <c r="BA80" s="129">
        <f>AVERAGE(AP80:AP83)+90-360</f>
        <v>27.425000000000011</v>
      </c>
      <c r="BB80" s="129">
        <f>90-AVERAGE(AQ80:AQ83)</f>
        <v>28.775000000000006</v>
      </c>
      <c r="BC80" s="7">
        <v>284.39999999999998</v>
      </c>
      <c r="BD80" s="7" t="s">
        <v>1490</v>
      </c>
      <c r="BE80" s="7" t="s">
        <v>258</v>
      </c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</row>
    <row r="81" spans="1:106" s="283" customFormat="1">
      <c r="A81" s="367" t="s">
        <v>1412</v>
      </c>
      <c r="B81" s="288" t="s">
        <v>1428</v>
      </c>
      <c r="C81" s="350">
        <v>20.477</v>
      </c>
      <c r="D81" s="289">
        <v>3</v>
      </c>
      <c r="E81" s="290">
        <v>0</v>
      </c>
      <c r="F81" s="290">
        <v>3</v>
      </c>
      <c r="G81" s="290">
        <v>90</v>
      </c>
      <c r="H81" s="291">
        <v>222.4</v>
      </c>
      <c r="I81" s="292">
        <v>52</v>
      </c>
      <c r="J81" s="250">
        <f t="shared" si="0"/>
        <v>42.400000000000006</v>
      </c>
      <c r="K81" s="248">
        <f>280.5</f>
        <v>280.5</v>
      </c>
      <c r="L81" s="293">
        <v>0.01</v>
      </c>
      <c r="M81" s="294">
        <v>1.0223</v>
      </c>
      <c r="N81" s="295">
        <v>1.0061</v>
      </c>
      <c r="O81" s="295">
        <v>0.97150000000000003</v>
      </c>
      <c r="P81" s="296">
        <v>1.052</v>
      </c>
      <c r="Q81" s="297">
        <v>1.016</v>
      </c>
      <c r="R81" s="297">
        <v>1.036</v>
      </c>
      <c r="S81" s="257">
        <v>0.38</v>
      </c>
      <c r="T81" s="257">
        <v>1.0189999999999999</v>
      </c>
      <c r="U81" s="257">
        <v>0.372</v>
      </c>
      <c r="V81" s="297">
        <f t="shared" si="1"/>
        <v>4.969187127066415</v>
      </c>
      <c r="W81" s="293">
        <v>0.36099999999999999</v>
      </c>
      <c r="X81" s="298">
        <v>199</v>
      </c>
      <c r="Y81" s="298">
        <v>71</v>
      </c>
      <c r="Z81" s="299">
        <v>0.7</v>
      </c>
      <c r="AA81" s="299">
        <v>349</v>
      </c>
      <c r="AB81" s="299">
        <v>17</v>
      </c>
      <c r="AC81" s="298">
        <v>82</v>
      </c>
      <c r="AD81" s="298">
        <v>9</v>
      </c>
      <c r="AE81" s="300">
        <v>0.2</v>
      </c>
      <c r="AF81" s="283">
        <v>111.6</v>
      </c>
      <c r="AG81" s="283">
        <v>29.9</v>
      </c>
      <c r="AJ81" s="283">
        <v>296.39999999999998</v>
      </c>
      <c r="AK81" s="283">
        <v>60.1</v>
      </c>
      <c r="AL81" s="298" t="s">
        <v>1361</v>
      </c>
      <c r="AM81" s="304">
        <f t="shared" si="2"/>
        <v>111.6</v>
      </c>
      <c r="AN81" s="305">
        <f t="shared" si="3"/>
        <v>29.9</v>
      </c>
      <c r="AO81" s="283" t="s">
        <v>1368</v>
      </c>
      <c r="AP81" s="304">
        <f t="shared" si="4"/>
        <v>296.39999999999998</v>
      </c>
      <c r="AQ81" s="305">
        <f t="shared" si="5"/>
        <v>60.1</v>
      </c>
      <c r="AR81" s="7" t="s">
        <v>1372</v>
      </c>
      <c r="AS81" s="7">
        <v>116.4</v>
      </c>
      <c r="AT81" s="7">
        <v>60.1</v>
      </c>
      <c r="AU81" s="7"/>
      <c r="AV81" s="302">
        <v>111.6</v>
      </c>
      <c r="AW81" s="302">
        <v>29.9</v>
      </c>
      <c r="AX81" s="7" t="s">
        <v>1368</v>
      </c>
      <c r="AY81" s="7" t="s">
        <v>1400</v>
      </c>
      <c r="AZ81" s="53" t="s">
        <v>1370</v>
      </c>
      <c r="BA81" s="66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</row>
    <row r="82" spans="1:106" s="283" customFormat="1">
      <c r="A82" s="367" t="s">
        <v>1412</v>
      </c>
      <c r="B82" s="288" t="s">
        <v>1429</v>
      </c>
      <c r="C82" s="303"/>
      <c r="D82" s="289">
        <v>3</v>
      </c>
      <c r="E82" s="290">
        <v>0</v>
      </c>
      <c r="F82" s="290">
        <v>3</v>
      </c>
      <c r="G82" s="290">
        <v>90</v>
      </c>
      <c r="H82" s="291">
        <v>222.4</v>
      </c>
      <c r="I82" s="292">
        <v>52</v>
      </c>
      <c r="J82" s="250">
        <f t="shared" si="0"/>
        <v>42.400000000000006</v>
      </c>
      <c r="K82" s="248">
        <f>276.5</f>
        <v>276.5</v>
      </c>
      <c r="L82" s="293">
        <v>0.02</v>
      </c>
      <c r="M82" s="294">
        <v>1.0213000000000001</v>
      </c>
      <c r="N82" s="295">
        <v>1.0055000000000001</v>
      </c>
      <c r="O82" s="295">
        <v>0.97319999999999995</v>
      </c>
      <c r="P82" s="296">
        <v>1.0489999999999999</v>
      </c>
      <c r="Q82" s="297">
        <v>1.016</v>
      </c>
      <c r="R82" s="297">
        <v>1.0329999999999999</v>
      </c>
      <c r="S82" s="257">
        <v>0.39400000000000002</v>
      </c>
      <c r="T82" s="257">
        <v>1.0169999999999999</v>
      </c>
      <c r="U82" s="257">
        <v>0.35299999999999998</v>
      </c>
      <c r="V82" s="297">
        <f t="shared" si="1"/>
        <v>4.7096837364143882</v>
      </c>
      <c r="W82" s="293">
        <v>0.34200000000000003</v>
      </c>
      <c r="X82" s="298">
        <v>209</v>
      </c>
      <c r="Y82" s="298">
        <v>71</v>
      </c>
      <c r="Z82" s="299">
        <v>1.5</v>
      </c>
      <c r="AA82" s="299">
        <v>348</v>
      </c>
      <c r="AB82" s="299">
        <v>15</v>
      </c>
      <c r="AC82" s="298">
        <v>81</v>
      </c>
      <c r="AD82" s="298">
        <v>11</v>
      </c>
      <c r="AE82" s="300">
        <v>0.5</v>
      </c>
      <c r="AF82" s="283">
        <v>113.7</v>
      </c>
      <c r="AG82" s="283">
        <v>27.2</v>
      </c>
      <c r="AJ82" s="283">
        <v>293.39999999999998</v>
      </c>
      <c r="AK82" s="283">
        <v>61.8</v>
      </c>
      <c r="AL82" s="298" t="s">
        <v>1361</v>
      </c>
      <c r="AM82" s="304">
        <f t="shared" si="2"/>
        <v>113.7</v>
      </c>
      <c r="AN82" s="305">
        <f t="shared" si="3"/>
        <v>27.2</v>
      </c>
      <c r="AO82" s="283" t="s">
        <v>1368</v>
      </c>
      <c r="AP82" s="304">
        <f t="shared" si="4"/>
        <v>293.39999999999998</v>
      </c>
      <c r="AQ82" s="305">
        <f t="shared" si="5"/>
        <v>61.8</v>
      </c>
      <c r="AR82" s="7" t="s">
        <v>1372</v>
      </c>
      <c r="AS82" s="7">
        <v>113.4</v>
      </c>
      <c r="AT82" s="7">
        <v>61.8</v>
      </c>
      <c r="AU82" s="7"/>
      <c r="AV82" s="302">
        <v>113.7</v>
      </c>
      <c r="AW82" s="302">
        <v>27.2</v>
      </c>
      <c r="AX82" s="7" t="s">
        <v>1368</v>
      </c>
      <c r="AY82" s="7" t="s">
        <v>1400</v>
      </c>
      <c r="AZ82" s="53" t="s">
        <v>1370</v>
      </c>
      <c r="BA82" s="66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</row>
    <row r="83" spans="1:106" s="359" customFormat="1">
      <c r="A83" s="369" t="s">
        <v>1412</v>
      </c>
      <c r="B83" s="306" t="s">
        <v>1430</v>
      </c>
      <c r="C83" s="307"/>
      <c r="D83" s="308">
        <v>3</v>
      </c>
      <c r="E83" s="306">
        <v>0</v>
      </c>
      <c r="F83" s="306">
        <v>3</v>
      </c>
      <c r="G83" s="306">
        <v>90</v>
      </c>
      <c r="H83" s="429">
        <v>222.4</v>
      </c>
      <c r="I83" s="430">
        <v>52</v>
      </c>
      <c r="J83" s="352">
        <f t="shared" si="0"/>
        <v>42.400000000000006</v>
      </c>
      <c r="K83" s="320">
        <f>295.4</f>
        <v>295.39999999999998</v>
      </c>
      <c r="L83" s="309">
        <v>8.9999999999999993E-3</v>
      </c>
      <c r="M83" s="310">
        <v>1.0219</v>
      </c>
      <c r="N83" s="311">
        <v>1.0549999999999999</v>
      </c>
      <c r="O83" s="311">
        <v>0.97260000000000002</v>
      </c>
      <c r="P83" s="312">
        <v>1.0509999999999999</v>
      </c>
      <c r="Q83" s="313">
        <v>1.016</v>
      </c>
      <c r="R83" s="313">
        <v>1.034</v>
      </c>
      <c r="S83" s="273">
        <v>0.39800000000000002</v>
      </c>
      <c r="T83" s="273">
        <v>1.0169999999999999</v>
      </c>
      <c r="U83" s="273">
        <v>0.34699999999999998</v>
      </c>
      <c r="V83" s="313">
        <f t="shared" si="1"/>
        <v>4.8243468049711336</v>
      </c>
      <c r="W83" s="309">
        <v>0.33600000000000002</v>
      </c>
      <c r="X83" s="314">
        <v>207</v>
      </c>
      <c r="Y83" s="314">
        <v>70</v>
      </c>
      <c r="Z83" s="315">
        <v>0.6</v>
      </c>
      <c r="AA83" s="299">
        <v>351</v>
      </c>
      <c r="AB83" s="299">
        <v>16</v>
      </c>
      <c r="AC83" s="314">
        <v>84</v>
      </c>
      <c r="AD83" s="314">
        <v>11</v>
      </c>
      <c r="AE83" s="316">
        <v>0.2</v>
      </c>
      <c r="AF83" s="359">
        <v>112.4</v>
      </c>
      <c r="AG83" s="359">
        <v>27.1</v>
      </c>
      <c r="AJ83" s="359">
        <v>299.60000000000002</v>
      </c>
      <c r="AK83" s="359">
        <v>62.5</v>
      </c>
      <c r="AL83" s="314" t="s">
        <v>1361</v>
      </c>
      <c r="AM83" s="402">
        <f t="shared" si="2"/>
        <v>112.4</v>
      </c>
      <c r="AN83" s="403">
        <f t="shared" si="3"/>
        <v>27.1</v>
      </c>
      <c r="AO83" s="359" t="s">
        <v>1368</v>
      </c>
      <c r="AP83" s="402">
        <f t="shared" si="4"/>
        <v>299.60000000000002</v>
      </c>
      <c r="AQ83" s="403">
        <f t="shared" si="5"/>
        <v>62.5</v>
      </c>
      <c r="AR83" s="357" t="s">
        <v>1372</v>
      </c>
      <c r="AS83" s="357">
        <v>119.6</v>
      </c>
      <c r="AT83" s="357">
        <v>62.5</v>
      </c>
      <c r="AU83" s="357"/>
      <c r="AV83" s="317">
        <v>112.4</v>
      </c>
      <c r="AW83" s="317">
        <v>27.1</v>
      </c>
      <c r="AX83" s="357" t="s">
        <v>1368</v>
      </c>
      <c r="AY83" s="357" t="s">
        <v>1400</v>
      </c>
      <c r="AZ83" s="53" t="s">
        <v>1370</v>
      </c>
      <c r="BA83" s="358"/>
      <c r="BB83" s="357"/>
      <c r="BC83" s="357"/>
      <c r="BD83" s="357"/>
      <c r="BE83" s="357"/>
      <c r="BF83" s="357"/>
      <c r="BG83" s="357"/>
      <c r="BH83" s="357"/>
      <c r="BI83" s="357"/>
      <c r="BJ83" s="357"/>
      <c r="BK83" s="357"/>
      <c r="BL83" s="357"/>
      <c r="BM83" s="357"/>
      <c r="BN83" s="357"/>
      <c r="BO83" s="357"/>
      <c r="BP83" s="357"/>
      <c r="BQ83" s="357"/>
      <c r="BR83" s="357"/>
      <c r="BS83" s="357"/>
      <c r="BT83" s="357"/>
      <c r="BU83" s="357"/>
      <c r="BV83" s="357"/>
      <c r="BW83" s="357"/>
      <c r="BX83" s="357"/>
      <c r="BY83" s="357"/>
      <c r="BZ83" s="357"/>
      <c r="CA83" s="357"/>
      <c r="CB83" s="357"/>
      <c r="CC83" s="357"/>
      <c r="CD83" s="357"/>
      <c r="CE83" s="357"/>
      <c r="CF83" s="357"/>
      <c r="CG83" s="357"/>
      <c r="CH83" s="357"/>
      <c r="CI83" s="357"/>
      <c r="CJ83" s="357"/>
      <c r="CK83" s="357"/>
      <c r="CL83" s="357"/>
      <c r="CM83" s="357"/>
      <c r="CN83" s="357"/>
      <c r="CO83" s="357"/>
      <c r="CP83" s="357"/>
      <c r="CQ83" s="357"/>
      <c r="CR83" s="357"/>
      <c r="CS83" s="357"/>
      <c r="CT83" s="357"/>
      <c r="CU83" s="357"/>
      <c r="CV83" s="357"/>
      <c r="CW83" s="357"/>
      <c r="CX83" s="357"/>
      <c r="CY83" s="357"/>
      <c r="CZ83" s="357"/>
      <c r="DA83" s="357"/>
      <c r="DB83" s="357"/>
    </row>
    <row r="84" spans="1:106">
      <c r="A84" s="367" t="s">
        <v>1412</v>
      </c>
      <c r="B84" s="245" t="s">
        <v>1431</v>
      </c>
      <c r="C84" s="362">
        <v>24.809000000000001</v>
      </c>
      <c r="D84" s="246">
        <v>3</v>
      </c>
      <c r="E84" s="247">
        <v>0</v>
      </c>
      <c r="F84" s="247">
        <v>3</v>
      </c>
      <c r="G84" s="247">
        <v>90</v>
      </c>
      <c r="H84" s="248">
        <v>64.400000000000006</v>
      </c>
      <c r="I84" s="249">
        <v>78</v>
      </c>
      <c r="J84" s="250">
        <f t="shared" si="0"/>
        <v>244.4</v>
      </c>
      <c r="K84" s="248">
        <f>211</f>
        <v>211</v>
      </c>
      <c r="L84" s="252">
        <v>3.9E-2</v>
      </c>
      <c r="M84" s="253">
        <v>1.0204</v>
      </c>
      <c r="N84" s="254">
        <v>1.0041</v>
      </c>
      <c r="O84" s="254">
        <v>0.97550000000000003</v>
      </c>
      <c r="P84" s="255">
        <v>1.046</v>
      </c>
      <c r="Q84" s="256">
        <v>1.016</v>
      </c>
      <c r="R84" s="256">
        <v>1.0289999999999999</v>
      </c>
      <c r="S84" s="257">
        <v>0.442</v>
      </c>
      <c r="T84" s="257">
        <v>1.0129999999999999</v>
      </c>
      <c r="U84" s="257">
        <v>0.28599999999999998</v>
      </c>
      <c r="V84" s="256">
        <f t="shared" si="1"/>
        <v>4.4002352018816095</v>
      </c>
      <c r="W84" s="252">
        <v>0.27600000000000002</v>
      </c>
      <c r="X84" s="259">
        <v>195</v>
      </c>
      <c r="Y84" s="259">
        <v>31</v>
      </c>
      <c r="Z84" s="260">
        <v>2.6</v>
      </c>
      <c r="AA84" s="260">
        <v>314</v>
      </c>
      <c r="AB84" s="260">
        <v>39</v>
      </c>
      <c r="AC84" s="259">
        <v>79</v>
      </c>
      <c r="AD84" s="259">
        <v>36</v>
      </c>
      <c r="AE84" s="261">
        <v>1</v>
      </c>
      <c r="AF84">
        <v>278</v>
      </c>
      <c r="AG84">
        <v>-6.3</v>
      </c>
      <c r="AJ84">
        <v>355</v>
      </c>
      <c r="AK84">
        <v>64</v>
      </c>
      <c r="AL84" s="259" t="s">
        <v>1432</v>
      </c>
      <c r="AM84" s="262">
        <f t="shared" si="2"/>
        <v>98</v>
      </c>
      <c r="AN84">
        <f t="shared" si="3"/>
        <v>6.3</v>
      </c>
      <c r="AO84" t="s">
        <v>1343</v>
      </c>
      <c r="AP84" s="304">
        <f t="shared" si="4"/>
        <v>355</v>
      </c>
      <c r="AQ84" s="305">
        <f t="shared" si="5"/>
        <v>64</v>
      </c>
      <c r="AR84" t="s">
        <v>1356</v>
      </c>
      <c r="AS84">
        <v>175</v>
      </c>
      <c r="AT84">
        <v>64</v>
      </c>
      <c r="AV84" s="259">
        <v>98</v>
      </c>
      <c r="AW84" s="259">
        <v>6.3</v>
      </c>
      <c r="AX84" t="s">
        <v>1343</v>
      </c>
      <c r="AY84" s="7" t="s">
        <v>1400</v>
      </c>
      <c r="AZ84" s="53" t="s">
        <v>1433</v>
      </c>
      <c r="BA84" s="5">
        <f>AVERAGE(AP84:AP86)+90-360</f>
        <v>85.166666666666686</v>
      </c>
      <c r="BB84" s="5">
        <f>90-AVERAGE(AQ84:AQ86)</f>
        <v>24.566666666666663</v>
      </c>
      <c r="BC84" s="7">
        <v>284.39999999999998</v>
      </c>
      <c r="BD84" s="7" t="s">
        <v>1490</v>
      </c>
      <c r="BE84" s="7" t="s">
        <v>1501</v>
      </c>
    </row>
    <row r="85" spans="1:106">
      <c r="A85" s="367" t="s">
        <v>1412</v>
      </c>
      <c r="B85" s="245" t="s">
        <v>1434</v>
      </c>
      <c r="C85" s="362">
        <v>22.664000000000001</v>
      </c>
      <c r="D85" s="246">
        <v>3</v>
      </c>
      <c r="E85" s="247">
        <v>0</v>
      </c>
      <c r="F85" s="247">
        <v>3</v>
      </c>
      <c r="G85" s="247">
        <v>90</v>
      </c>
      <c r="H85" s="248">
        <v>64.400000000000006</v>
      </c>
      <c r="I85" s="249">
        <v>78</v>
      </c>
      <c r="J85" s="250">
        <f t="shared" si="0"/>
        <v>244.4</v>
      </c>
      <c r="K85" s="248">
        <f>219.3</f>
        <v>219.3</v>
      </c>
      <c r="L85" s="252">
        <v>1.6E-2</v>
      </c>
      <c r="M85" s="253">
        <v>1.0206999999999999</v>
      </c>
      <c r="N85" s="254">
        <v>1.0021</v>
      </c>
      <c r="O85" s="254">
        <v>0.97719999999999996</v>
      </c>
      <c r="P85" s="255">
        <v>1.044</v>
      </c>
      <c r="Q85" s="256">
        <v>1.0189999999999999</v>
      </c>
      <c r="R85" s="256">
        <v>1.0249999999999999</v>
      </c>
      <c r="S85" s="257">
        <v>0.54600000000000004</v>
      </c>
      <c r="T85" s="257">
        <v>1.0069999999999999</v>
      </c>
      <c r="U85" s="257">
        <v>0.153</v>
      </c>
      <c r="V85" s="256">
        <f t="shared" si="1"/>
        <v>4.2617811305966473</v>
      </c>
      <c r="W85" s="252">
        <v>0.14299999999999999</v>
      </c>
      <c r="X85" s="259">
        <v>196</v>
      </c>
      <c r="Y85" s="259">
        <v>34</v>
      </c>
      <c r="Z85" s="260">
        <v>1</v>
      </c>
      <c r="AA85" s="260">
        <v>317</v>
      </c>
      <c r="AB85" s="260">
        <v>38</v>
      </c>
      <c r="AC85" s="259">
        <v>79</v>
      </c>
      <c r="AD85" s="259">
        <v>34</v>
      </c>
      <c r="AE85" s="261">
        <v>0.4</v>
      </c>
      <c r="AF85">
        <v>281.10000000000002</v>
      </c>
      <c r="AG85">
        <v>-6.2</v>
      </c>
      <c r="AJ85">
        <v>357.1</v>
      </c>
      <c r="AK85">
        <v>65.8</v>
      </c>
      <c r="AL85" s="259" t="s">
        <v>1432</v>
      </c>
      <c r="AM85" s="262">
        <f t="shared" si="2"/>
        <v>101.10000000000002</v>
      </c>
      <c r="AN85">
        <f t="shared" si="3"/>
        <v>6.2</v>
      </c>
      <c r="AO85" t="s">
        <v>1343</v>
      </c>
      <c r="AP85" s="304">
        <f t="shared" si="4"/>
        <v>357.1</v>
      </c>
      <c r="AQ85" s="305">
        <f t="shared" si="5"/>
        <v>65.8</v>
      </c>
      <c r="AR85" t="s">
        <v>1356</v>
      </c>
      <c r="AS85">
        <v>177.1</v>
      </c>
      <c r="AT85">
        <v>65.8</v>
      </c>
      <c r="AV85" s="259">
        <v>101.10000000000002</v>
      </c>
      <c r="AW85" s="259">
        <v>6.2</v>
      </c>
      <c r="AX85" t="s">
        <v>1343</v>
      </c>
      <c r="AY85" s="7" t="s">
        <v>1377</v>
      </c>
      <c r="AZ85" s="53" t="s">
        <v>1433</v>
      </c>
    </row>
    <row r="86" spans="1:106" s="356" customFormat="1">
      <c r="A86" s="369" t="s">
        <v>1412</v>
      </c>
      <c r="B86" s="264" t="s">
        <v>1435</v>
      </c>
      <c r="C86" s="407"/>
      <c r="D86" s="266">
        <v>3</v>
      </c>
      <c r="E86" s="264">
        <v>0</v>
      </c>
      <c r="F86" s="264">
        <v>3</v>
      </c>
      <c r="G86" s="264">
        <v>90</v>
      </c>
      <c r="H86" s="320">
        <v>64.400000000000006</v>
      </c>
      <c r="I86" s="364">
        <v>78</v>
      </c>
      <c r="J86" s="352">
        <f t="shared" si="0"/>
        <v>244.4</v>
      </c>
      <c r="K86" s="320">
        <f>219.4</f>
        <v>219.4</v>
      </c>
      <c r="L86" s="268">
        <v>2.8000000000000001E-2</v>
      </c>
      <c r="M86" s="269">
        <v>1.0204</v>
      </c>
      <c r="N86" s="270">
        <v>1.0013000000000001</v>
      </c>
      <c r="O86" s="270">
        <v>0.97840000000000005</v>
      </c>
      <c r="P86" s="271">
        <v>1.0429999999999999</v>
      </c>
      <c r="Q86" s="272">
        <v>1.0189999999999999</v>
      </c>
      <c r="R86" s="272">
        <v>1.0229999999999999</v>
      </c>
      <c r="S86" s="273">
        <v>0.58799999999999997</v>
      </c>
      <c r="T86" s="273">
        <v>1.004</v>
      </c>
      <c r="U86" s="273">
        <v>0.10100000000000001</v>
      </c>
      <c r="V86" s="272">
        <f t="shared" si="1"/>
        <v>4.1160329282634187</v>
      </c>
      <c r="W86" s="268">
        <v>9.0999999999999998E-2</v>
      </c>
      <c r="X86" s="275">
        <v>195</v>
      </c>
      <c r="Y86" s="275">
        <v>32</v>
      </c>
      <c r="Z86" s="276">
        <v>1.6</v>
      </c>
      <c r="AA86" s="260">
        <v>317</v>
      </c>
      <c r="AB86" s="260">
        <v>40</v>
      </c>
      <c r="AC86" s="275">
        <v>81</v>
      </c>
      <c r="AD86" s="275">
        <v>34</v>
      </c>
      <c r="AE86" s="277">
        <v>0.8</v>
      </c>
      <c r="AF86" s="356">
        <v>278.89999999999998</v>
      </c>
      <c r="AG86" s="356">
        <v>-6</v>
      </c>
      <c r="AJ86" s="356">
        <v>353.4</v>
      </c>
      <c r="AK86" s="356">
        <v>66.5</v>
      </c>
      <c r="AL86" s="275" t="s">
        <v>1432</v>
      </c>
      <c r="AM86" s="355">
        <f t="shared" si="2"/>
        <v>98.899999999999977</v>
      </c>
      <c r="AN86" s="356">
        <f t="shared" si="3"/>
        <v>6</v>
      </c>
      <c r="AO86" s="356" t="s">
        <v>1343</v>
      </c>
      <c r="AP86" s="402">
        <f t="shared" si="4"/>
        <v>353.4</v>
      </c>
      <c r="AQ86" s="403">
        <f t="shared" si="5"/>
        <v>66.5</v>
      </c>
      <c r="AR86" s="356" t="s">
        <v>1356</v>
      </c>
      <c r="AS86" s="356">
        <v>173.4</v>
      </c>
      <c r="AT86" s="356">
        <v>66.5</v>
      </c>
      <c r="AV86" s="275">
        <v>98.899999999999977</v>
      </c>
      <c r="AW86" s="275">
        <v>6</v>
      </c>
      <c r="AX86" s="356" t="s">
        <v>1343</v>
      </c>
      <c r="AY86" s="357" t="s">
        <v>1377</v>
      </c>
      <c r="AZ86" s="53" t="s">
        <v>1433</v>
      </c>
      <c r="BA86" s="408"/>
      <c r="BC86" s="357"/>
      <c r="BD86" s="357"/>
      <c r="BE86" s="357"/>
      <c r="BF86" s="357"/>
      <c r="BG86" s="357"/>
      <c r="BH86" s="357"/>
      <c r="BI86" s="357"/>
      <c r="BJ86" s="357"/>
      <c r="BK86" s="357"/>
      <c r="BL86" s="357"/>
      <c r="BM86" s="357"/>
      <c r="BN86" s="357"/>
      <c r="BO86" s="357"/>
      <c r="BP86" s="357"/>
      <c r="BQ86" s="357"/>
      <c r="BR86" s="357"/>
      <c r="BS86" s="357"/>
      <c r="BT86" s="357"/>
      <c r="BU86" s="357"/>
      <c r="BV86" s="357"/>
      <c r="BW86" s="357"/>
      <c r="BX86" s="357"/>
      <c r="BY86" s="357"/>
      <c r="BZ86" s="357"/>
      <c r="CA86" s="357"/>
      <c r="CB86" s="357"/>
      <c r="CC86" s="357"/>
      <c r="CD86" s="357"/>
      <c r="CE86" s="357"/>
      <c r="CF86" s="357"/>
      <c r="CG86" s="357"/>
      <c r="CH86" s="357"/>
      <c r="CI86" s="357"/>
      <c r="CJ86" s="357"/>
      <c r="CK86" s="357"/>
      <c r="CL86" s="357"/>
      <c r="CM86" s="357"/>
      <c r="CN86" s="357"/>
      <c r="CO86" s="357"/>
      <c r="CP86" s="357"/>
      <c r="CQ86" s="357"/>
      <c r="CR86" s="357"/>
      <c r="CS86" s="357"/>
      <c r="CT86" s="357"/>
      <c r="CU86" s="357"/>
      <c r="CV86" s="357"/>
      <c r="CW86" s="357"/>
      <c r="CX86" s="357"/>
      <c r="CY86" s="357"/>
      <c r="CZ86" s="357"/>
      <c r="DA86" s="357"/>
      <c r="DB86" s="357"/>
    </row>
    <row r="87" spans="1:106">
      <c r="A87" s="367" t="s">
        <v>1412</v>
      </c>
      <c r="B87" s="247" t="str">
        <f>[2]AMS_raw!A36</f>
        <v>BB42_3</v>
      </c>
      <c r="C87" s="405"/>
      <c r="D87" s="246"/>
      <c r="E87" s="247"/>
      <c r="F87" s="247"/>
      <c r="G87" s="247"/>
      <c r="H87" s="247">
        <v>99</v>
      </c>
      <c r="I87" s="247">
        <v>92</v>
      </c>
      <c r="J87" s="250"/>
      <c r="K87" s="284">
        <f>[2]AMS_raw!G36</f>
        <v>287.39999999999998</v>
      </c>
      <c r="L87" s="250">
        <f>[2]AMS_raw!H36</f>
        <v>0.10100000000000001</v>
      </c>
      <c r="M87" s="247">
        <f>[2]AMS_raw!M36</f>
        <v>1.0236000000000001</v>
      </c>
      <c r="N87" s="247">
        <f>[2]AMS_raw!N36</f>
        <v>0.99629999999999996</v>
      </c>
      <c r="O87" s="247">
        <f>[2]AMS_raw!O36</f>
        <v>0.98</v>
      </c>
      <c r="P87" s="255"/>
      <c r="Q87" s="256"/>
      <c r="R87" s="256"/>
      <c r="S87" s="280">
        <f>[2]AMS_raw!S36</f>
        <v>0.91100000000000003</v>
      </c>
      <c r="T87" s="280">
        <f>[2]AMS_raw!T36</f>
        <v>0.99</v>
      </c>
      <c r="U87" s="281">
        <f>[2]AMS_raw!U36</f>
        <v>-0.24099999999999999</v>
      </c>
      <c r="V87" s="256">
        <f t="shared" si="1"/>
        <v>4.2594763579523329</v>
      </c>
      <c r="W87" s="247">
        <f>[2]AMS_raw!V36</f>
        <v>-0.252</v>
      </c>
      <c r="X87" s="247">
        <f>[2]AMS_raw!AM36</f>
        <v>348</v>
      </c>
      <c r="Y87" s="247">
        <f>[2]AMS_raw!AN36</f>
        <v>87</v>
      </c>
      <c r="Z87" s="282"/>
      <c r="AA87" s="282"/>
      <c r="AB87" s="282"/>
      <c r="AC87" s="247">
        <f>[2]AMS_raw!AQ36</f>
        <v>257</v>
      </c>
      <c r="AD87" s="247">
        <f>[2]AMS_raw!AR36</f>
        <v>0</v>
      </c>
      <c r="AE87" s="261"/>
      <c r="AF87" s="247">
        <f>[2]AMS_raw!AD36</f>
        <v>193</v>
      </c>
      <c r="AG87" s="247">
        <f>[2]AMS_raw!AE36</f>
        <v>3</v>
      </c>
      <c r="AH87" s="247">
        <f>[2]AMS_raw!AG36</f>
        <v>283</v>
      </c>
      <c r="AI87" s="247">
        <f>[2]AMS_raw!AH36</f>
        <v>12</v>
      </c>
      <c r="AJ87" s="247">
        <f>[2]AMS_raw!AJ36</f>
        <v>91</v>
      </c>
      <c r="AK87" s="247">
        <f>[2]AMS_raw!AK36</f>
        <v>77</v>
      </c>
      <c r="AL87" s="259"/>
      <c r="AM87" s="262">
        <f t="shared" si="2"/>
        <v>193</v>
      </c>
      <c r="AN87">
        <f t="shared" si="3"/>
        <v>3</v>
      </c>
      <c r="AO87" t="s">
        <v>1343</v>
      </c>
      <c r="AP87" s="262">
        <f t="shared" si="4"/>
        <v>91</v>
      </c>
      <c r="AQ87" s="7">
        <f t="shared" si="5"/>
        <v>77</v>
      </c>
      <c r="AR87" t="s">
        <v>1356</v>
      </c>
      <c r="AS87"/>
      <c r="AV87" s="259"/>
      <c r="AW87" s="259"/>
      <c r="AY87" s="7" t="s">
        <v>103</v>
      </c>
      <c r="AZ87" s="53" t="s">
        <v>1382</v>
      </c>
      <c r="BA87" s="5">
        <f>AVERAGE(AP87:AP88)+90</f>
        <v>185.5</v>
      </c>
      <c r="BB87" s="5">
        <f>90-AVERAGE(AQ87:AQ88)</f>
        <v>13.5</v>
      </c>
      <c r="BC87" s="7">
        <v>282.39999999999998</v>
      </c>
      <c r="BD87" s="7" t="s">
        <v>1491</v>
      </c>
      <c r="BE87" s="7" t="s">
        <v>1500</v>
      </c>
    </row>
    <row r="88" spans="1:106" s="356" customFormat="1">
      <c r="A88" s="369" t="s">
        <v>1412</v>
      </c>
      <c r="B88" s="264" t="str">
        <f>[2]AMS_raw!A37</f>
        <v>BB42_4</v>
      </c>
      <c r="C88" s="407"/>
      <c r="D88" s="266"/>
      <c r="E88" s="264"/>
      <c r="F88" s="264"/>
      <c r="G88" s="264"/>
      <c r="H88" s="264">
        <v>99</v>
      </c>
      <c r="I88" s="264">
        <v>92</v>
      </c>
      <c r="J88" s="352"/>
      <c r="K88" s="360">
        <f>[2]AMS_raw!G37</f>
        <v>264.89999999999998</v>
      </c>
      <c r="L88" s="352">
        <f>[2]AMS_raw!H37</f>
        <v>8.5999999999999993E-2</v>
      </c>
      <c r="M88" s="264">
        <f>[2]AMS_raw!M37</f>
        <v>1.0216000000000001</v>
      </c>
      <c r="N88" s="264">
        <f>[2]AMS_raw!N37</f>
        <v>0.99639999999999995</v>
      </c>
      <c r="O88" s="264">
        <f>[2]AMS_raw!O37</f>
        <v>0.98199999999999998</v>
      </c>
      <c r="P88" s="271"/>
      <c r="Q88" s="272"/>
      <c r="R88" s="272"/>
      <c r="S88" s="354">
        <f>[2]AMS_raw!S37</f>
        <v>0.93300000000000005</v>
      </c>
      <c r="T88" s="354">
        <f>[2]AMS_raw!T37</f>
        <v>0.99</v>
      </c>
      <c r="U88" s="361">
        <f>[2]AMS_raw!U37</f>
        <v>-0.26300000000000001</v>
      </c>
      <c r="V88" s="272">
        <f t="shared" si="1"/>
        <v>3.8762725137040013</v>
      </c>
      <c r="W88" s="264">
        <f>[2]AMS_raw!V37</f>
        <v>-0.27200000000000002</v>
      </c>
      <c r="X88" s="264">
        <f>[2]AMS_raw!AM37</f>
        <v>360</v>
      </c>
      <c r="Y88" s="264">
        <f>[2]AMS_raw!AN37</f>
        <v>81</v>
      </c>
      <c r="Z88" s="276"/>
      <c r="AA88" s="276"/>
      <c r="AB88" s="276"/>
      <c r="AC88" s="264">
        <f>[2]AMS_raw!AQ37</f>
        <v>256</v>
      </c>
      <c r="AD88" s="264">
        <f>[2]AMS_raw!AR37</f>
        <v>2</v>
      </c>
      <c r="AE88" s="277"/>
      <c r="AF88" s="264">
        <f>[2]AMS_raw!AD37</f>
        <v>198</v>
      </c>
      <c r="AG88" s="264">
        <f>[2]AMS_raw!AE37</f>
        <v>2</v>
      </c>
      <c r="AH88" s="247">
        <f>[2]AMS_raw!AG37</f>
        <v>289</v>
      </c>
      <c r="AI88" s="247">
        <f>[2]AMS_raw!AH37</f>
        <v>14</v>
      </c>
      <c r="AJ88" s="264">
        <f>[2]AMS_raw!AJ37</f>
        <v>100</v>
      </c>
      <c r="AK88" s="264">
        <f>[2]AMS_raw!AK37</f>
        <v>76</v>
      </c>
      <c r="AL88" s="275"/>
      <c r="AM88" s="355">
        <f t="shared" si="2"/>
        <v>198</v>
      </c>
      <c r="AN88" s="356">
        <f t="shared" si="3"/>
        <v>2</v>
      </c>
      <c r="AO88" s="356" t="s">
        <v>1343</v>
      </c>
      <c r="AP88" s="355">
        <f t="shared" si="4"/>
        <v>100</v>
      </c>
      <c r="AQ88" s="357">
        <f t="shared" si="5"/>
        <v>76</v>
      </c>
      <c r="AR88" s="356" t="s">
        <v>1356</v>
      </c>
      <c r="AV88" s="275"/>
      <c r="AW88" s="275"/>
      <c r="AY88" s="357" t="s">
        <v>103</v>
      </c>
      <c r="AZ88" s="53" t="s">
        <v>1382</v>
      </c>
      <c r="BA88" s="408"/>
      <c r="BC88" s="357"/>
      <c r="BD88" s="357"/>
      <c r="BE88" s="357"/>
      <c r="BF88" s="357"/>
      <c r="BG88" s="357"/>
      <c r="BH88" s="357"/>
      <c r="BI88" s="357"/>
      <c r="BJ88" s="357"/>
      <c r="BK88" s="357"/>
      <c r="BL88" s="357"/>
      <c r="BM88" s="357"/>
      <c r="BN88" s="357"/>
      <c r="BO88" s="357"/>
      <c r="BP88" s="357"/>
      <c r="BQ88" s="357"/>
      <c r="BR88" s="357"/>
      <c r="BS88" s="357"/>
      <c r="BT88" s="357"/>
      <c r="BU88" s="357"/>
      <c r="BV88" s="357"/>
      <c r="BW88" s="357"/>
      <c r="BX88" s="357"/>
      <c r="BY88" s="357"/>
      <c r="BZ88" s="357"/>
      <c r="CA88" s="357"/>
      <c r="CB88" s="357"/>
      <c r="CC88" s="357"/>
      <c r="CD88" s="357"/>
      <c r="CE88" s="357"/>
      <c r="CF88" s="357"/>
      <c r="CG88" s="357"/>
      <c r="CH88" s="357"/>
      <c r="CI88" s="357"/>
      <c r="CJ88" s="357"/>
      <c r="CK88" s="357"/>
      <c r="CL88" s="357"/>
      <c r="CM88" s="357"/>
      <c r="CN88" s="357"/>
      <c r="CO88" s="357"/>
      <c r="CP88" s="357"/>
      <c r="CQ88" s="357"/>
      <c r="CR88" s="357"/>
      <c r="CS88" s="357"/>
      <c r="CT88" s="357"/>
      <c r="CU88" s="357"/>
      <c r="CV88" s="357"/>
      <c r="CW88" s="357"/>
      <c r="CX88" s="357"/>
      <c r="CY88" s="357"/>
      <c r="CZ88" s="357"/>
      <c r="DA88" s="357"/>
      <c r="DB88" s="357"/>
    </row>
    <row r="89" spans="1:106">
      <c r="A89" s="367" t="s">
        <v>1412</v>
      </c>
      <c r="B89" s="247" t="str">
        <f>[2]AMS_raw!A38</f>
        <v>BB43_3</v>
      </c>
      <c r="C89" s="405"/>
      <c r="D89" s="246"/>
      <c r="E89" s="247"/>
      <c r="F89" s="247"/>
      <c r="G89" s="247"/>
      <c r="H89" s="247">
        <v>105</v>
      </c>
      <c r="I89" s="247">
        <v>43</v>
      </c>
      <c r="J89" s="250"/>
      <c r="K89" s="284">
        <f>[2]AMS_raw!G38</f>
        <v>252.1</v>
      </c>
      <c r="L89" s="250">
        <f>[2]AMS_raw!H38</f>
        <v>8.8999999999999996E-2</v>
      </c>
      <c r="M89" s="247">
        <f>[2]AMS_raw!M38</f>
        <v>1.0207999999999999</v>
      </c>
      <c r="N89" s="247">
        <f>[2]AMS_raw!N38</f>
        <v>0.99960000000000004</v>
      </c>
      <c r="O89" s="247">
        <f>[2]AMS_raw!O38</f>
        <v>0.97960000000000003</v>
      </c>
      <c r="P89" s="255"/>
      <c r="Q89" s="256"/>
      <c r="R89" s="256"/>
      <c r="S89" s="280">
        <f>[2]AMS_raw!S38</f>
        <v>0.69299999999999995</v>
      </c>
      <c r="T89" s="280">
        <f>[2]AMS_raw!T38</f>
        <v>0.999</v>
      </c>
      <c r="U89" s="281">
        <f>[2]AMS_raw!U38</f>
        <v>-1.9E-2</v>
      </c>
      <c r="V89" s="256">
        <f t="shared" si="1"/>
        <v>4.0360501567398028</v>
      </c>
      <c r="W89" s="247">
        <f>[2]AMS_raw!V38</f>
        <v>-2.9000000000000001E-2</v>
      </c>
      <c r="X89" s="247">
        <f>[2]AMS_raw!AM38</f>
        <v>16</v>
      </c>
      <c r="Y89" s="247">
        <f>[2]AMS_raw!AN38</f>
        <v>86</v>
      </c>
      <c r="Z89" s="282"/>
      <c r="AA89" s="282"/>
      <c r="AB89" s="282"/>
      <c r="AC89" s="247">
        <f>[2]AMS_raw!AQ38</f>
        <v>263</v>
      </c>
      <c r="AD89" s="247">
        <f>[2]AMS_raw!AR38</f>
        <v>1</v>
      </c>
      <c r="AE89" s="261"/>
      <c r="AF89" s="247">
        <f>[2]AMS_raw!AD38</f>
        <v>21</v>
      </c>
      <c r="AG89" s="247">
        <f>[2]AMS_raw!AE38</f>
        <v>48</v>
      </c>
      <c r="AH89" s="247">
        <f>[2]AMS_raw!AG38</f>
        <v>283</v>
      </c>
      <c r="AI89" s="247">
        <f>[2]AMS_raw!AH38</f>
        <v>7</v>
      </c>
      <c r="AJ89" s="247">
        <f>[2]AMS_raw!AJ38</f>
        <v>187</v>
      </c>
      <c r="AK89" s="247">
        <f>[2]AMS_raw!AK38</f>
        <v>41</v>
      </c>
      <c r="AL89" s="259"/>
      <c r="AM89" s="262">
        <f t="shared" si="2"/>
        <v>21</v>
      </c>
      <c r="AN89">
        <f t="shared" si="3"/>
        <v>48</v>
      </c>
      <c r="AO89" s="283" t="s">
        <v>1368</v>
      </c>
      <c r="AP89" s="262">
        <f t="shared" si="4"/>
        <v>187</v>
      </c>
      <c r="AQ89" s="7">
        <f t="shared" si="5"/>
        <v>41</v>
      </c>
      <c r="AR89" t="s">
        <v>1369</v>
      </c>
      <c r="AS89"/>
      <c r="AV89" s="259"/>
      <c r="AW89" s="259"/>
      <c r="AY89" s="7" t="s">
        <v>1377</v>
      </c>
      <c r="AZ89" s="53" t="s">
        <v>1418</v>
      </c>
      <c r="BA89" s="285">
        <f>AVERAGE(AP89:AP90)+90</f>
        <v>277.5</v>
      </c>
      <c r="BB89" s="285">
        <f>90-AVERAGE(AQ89:AQ90)</f>
        <v>49</v>
      </c>
      <c r="BC89" s="286">
        <v>282.39999999999998</v>
      </c>
      <c r="BD89" s="286" t="s">
        <v>1491</v>
      </c>
      <c r="BE89" s="7" t="s">
        <v>1500</v>
      </c>
    </row>
    <row r="90" spans="1:106" s="356" customFormat="1">
      <c r="A90" s="369" t="s">
        <v>1412</v>
      </c>
      <c r="B90" s="264" t="str">
        <f>[2]AMS_raw!A39</f>
        <v>BB43_4</v>
      </c>
      <c r="C90" s="407"/>
      <c r="D90" s="266"/>
      <c r="E90" s="264"/>
      <c r="F90" s="264"/>
      <c r="G90" s="264"/>
      <c r="H90" s="264">
        <v>105</v>
      </c>
      <c r="I90" s="264">
        <v>43</v>
      </c>
      <c r="J90" s="352"/>
      <c r="K90" s="360">
        <f>[2]AMS_raw!G39</f>
        <v>270.89999999999998</v>
      </c>
      <c r="L90" s="352">
        <f>[2]AMS_raw!H39</f>
        <v>0.114</v>
      </c>
      <c r="M90" s="264">
        <f>[2]AMS_raw!M39</f>
        <v>1.0210999999999999</v>
      </c>
      <c r="N90" s="264">
        <f>[2]AMS_raw!N39</f>
        <v>0.99939999999999996</v>
      </c>
      <c r="O90" s="264">
        <f>[2]AMS_raw!O39</f>
        <v>0.97950000000000004</v>
      </c>
      <c r="P90" s="271"/>
      <c r="Q90" s="272"/>
      <c r="R90" s="272"/>
      <c r="S90" s="354">
        <f>[2]AMS_raw!S39</f>
        <v>0.70799999999999996</v>
      </c>
      <c r="T90" s="354">
        <f>[2]AMS_raw!T39</f>
        <v>0.999</v>
      </c>
      <c r="U90" s="361">
        <f>[2]AMS_raw!U39</f>
        <v>-3.5999999999999997E-2</v>
      </c>
      <c r="V90" s="272">
        <f t="shared" si="1"/>
        <v>4.0740378023699799</v>
      </c>
      <c r="W90" s="264">
        <f>[2]AMS_raw!V39</f>
        <v>-4.5999999999999999E-2</v>
      </c>
      <c r="X90" s="264">
        <f>[2]AMS_raw!AM39</f>
        <v>47</v>
      </c>
      <c r="Y90" s="264">
        <f>[2]AMS_raw!AN39</f>
        <v>88</v>
      </c>
      <c r="Z90" s="276"/>
      <c r="AA90" s="276"/>
      <c r="AB90" s="276"/>
      <c r="AC90" s="264">
        <f>[2]AMS_raw!AQ39</f>
        <v>264</v>
      </c>
      <c r="AD90" s="264">
        <f>[2]AMS_raw!AR39</f>
        <v>1</v>
      </c>
      <c r="AE90" s="277"/>
      <c r="AF90" s="264">
        <f>[2]AMS_raw!AD39</f>
        <v>17</v>
      </c>
      <c r="AG90" s="264">
        <f>[2]AMS_raw!AE39</f>
        <v>48</v>
      </c>
      <c r="AH90" s="247">
        <f>[2]AMS_raw!AG39</f>
        <v>282</v>
      </c>
      <c r="AI90" s="247">
        <f>[2]AMS_raw!AH39</f>
        <v>5</v>
      </c>
      <c r="AJ90" s="264">
        <f>[2]AMS_raw!AJ39</f>
        <v>188</v>
      </c>
      <c r="AK90" s="264">
        <f>[2]AMS_raw!AK39</f>
        <v>41</v>
      </c>
      <c r="AL90" s="275"/>
      <c r="AM90" s="355">
        <f t="shared" si="2"/>
        <v>17</v>
      </c>
      <c r="AN90" s="356">
        <f t="shared" si="3"/>
        <v>48</v>
      </c>
      <c r="AO90" s="359" t="s">
        <v>1368</v>
      </c>
      <c r="AP90" s="355">
        <f t="shared" si="4"/>
        <v>188</v>
      </c>
      <c r="AQ90" s="357">
        <f t="shared" si="5"/>
        <v>41</v>
      </c>
      <c r="AR90" s="356" t="s">
        <v>1369</v>
      </c>
      <c r="AV90" s="275"/>
      <c r="AW90" s="275"/>
      <c r="AY90" s="357" t="s">
        <v>1377</v>
      </c>
      <c r="AZ90" s="53" t="s">
        <v>1418</v>
      </c>
      <c r="BA90" s="358"/>
      <c r="BB90" s="357"/>
      <c r="BC90" s="357"/>
      <c r="BD90" s="357"/>
      <c r="BE90" s="357"/>
      <c r="BF90" s="357"/>
      <c r="BG90" s="357"/>
      <c r="BH90" s="357"/>
      <c r="BI90" s="357"/>
      <c r="BJ90" s="357"/>
      <c r="BK90" s="357"/>
      <c r="BL90" s="357"/>
      <c r="BM90" s="357"/>
      <c r="BN90" s="357"/>
      <c r="BO90" s="357"/>
      <c r="BP90" s="357"/>
      <c r="BQ90" s="357"/>
      <c r="BR90" s="357"/>
      <c r="BS90" s="357"/>
      <c r="BT90" s="357"/>
      <c r="BU90" s="357"/>
      <c r="BV90" s="357"/>
      <c r="BW90" s="357"/>
      <c r="BX90" s="357"/>
      <c r="BY90" s="357"/>
      <c r="BZ90" s="357"/>
      <c r="CA90" s="357"/>
      <c r="CB90" s="357"/>
      <c r="CC90" s="357"/>
      <c r="CD90" s="357"/>
      <c r="CE90" s="357"/>
      <c r="CF90" s="357"/>
      <c r="CG90" s="357"/>
      <c r="CH90" s="357"/>
      <c r="CI90" s="357"/>
      <c r="CJ90" s="357"/>
      <c r="CK90" s="357"/>
      <c r="CL90" s="357"/>
      <c r="CM90" s="357"/>
      <c r="CN90" s="357"/>
      <c r="CO90" s="357"/>
      <c r="CP90" s="357"/>
      <c r="CQ90" s="357"/>
      <c r="CR90" s="357"/>
      <c r="CS90" s="357"/>
      <c r="CT90" s="357"/>
      <c r="CU90" s="357"/>
      <c r="CV90" s="357"/>
      <c r="CW90" s="357"/>
      <c r="CX90" s="357"/>
      <c r="CY90" s="357"/>
      <c r="CZ90" s="357"/>
      <c r="DA90" s="357"/>
      <c r="DB90" s="357"/>
    </row>
    <row r="91" spans="1:106">
      <c r="A91" s="319" t="s">
        <v>1436</v>
      </c>
      <c r="B91" s="247" t="str">
        <f>[2]AMS_raw!A40</f>
        <v>BB44_2</v>
      </c>
      <c r="C91" s="405"/>
      <c r="D91" s="246"/>
      <c r="E91" s="247"/>
      <c r="F91" s="247"/>
      <c r="G91" s="247"/>
      <c r="H91" s="247">
        <v>182</v>
      </c>
      <c r="I91" s="247">
        <v>40</v>
      </c>
      <c r="J91" s="250"/>
      <c r="K91" s="279">
        <f>[2]AMS_raw!G40</f>
        <v>306.3</v>
      </c>
      <c r="L91" s="250">
        <f>[2]AMS_raw!H40</f>
        <v>6.9000000000000006E-2</v>
      </c>
      <c r="M91" s="247">
        <f>[2]AMS_raw!M40</f>
        <v>1.0181</v>
      </c>
      <c r="N91" s="247">
        <f>[2]AMS_raw!N40</f>
        <v>1.0018</v>
      </c>
      <c r="O91" s="247">
        <f>[2]AMS_raw!O40</f>
        <v>0.98009999999999997</v>
      </c>
      <c r="P91" s="255"/>
      <c r="Q91" s="256"/>
      <c r="R91" s="256"/>
      <c r="S91" s="280">
        <f>[2]AMS_raw!S40</f>
        <v>0.54500000000000004</v>
      </c>
      <c r="T91" s="280">
        <f>[2]AMS_raw!T40</f>
        <v>1.006</v>
      </c>
      <c r="U91" s="280">
        <f>[2]AMS_raw!U40</f>
        <v>0.152</v>
      </c>
      <c r="V91" s="256">
        <f t="shared" si="1"/>
        <v>3.7324427855809876</v>
      </c>
      <c r="W91" s="247">
        <f>[2]AMS_raw!V40</f>
        <v>0.14299999999999999</v>
      </c>
      <c r="X91" s="247">
        <f>[2]AMS_raw!AM40</f>
        <v>307</v>
      </c>
      <c r="Y91" s="247">
        <f>[2]AMS_raw!AN40</f>
        <v>14</v>
      </c>
      <c r="Z91" s="282"/>
      <c r="AA91" s="282"/>
      <c r="AB91" s="282"/>
      <c r="AC91" s="247">
        <f>[2]AMS_raw!AQ40</f>
        <v>52</v>
      </c>
      <c r="AD91" s="247">
        <f>[2]AMS_raw!AR40</f>
        <v>45</v>
      </c>
      <c r="AE91" s="261"/>
      <c r="AF91" s="247">
        <f>[2]AMS_raw!AD40</f>
        <v>310</v>
      </c>
      <c r="AG91" s="247">
        <f>[2]AMS_raw!AE40</f>
        <v>18</v>
      </c>
      <c r="AH91" s="247">
        <f>[2]AMS_raw!AG40</f>
        <v>46</v>
      </c>
      <c r="AI91" s="247">
        <f>[2]AMS_raw!AH40</f>
        <v>18</v>
      </c>
      <c r="AJ91" s="247">
        <f>[2]AMS_raw!AJ40</f>
        <v>178</v>
      </c>
      <c r="AK91" s="247">
        <f>[2]AMS_raw!AK40</f>
        <v>64</v>
      </c>
      <c r="AL91" s="259"/>
      <c r="AM91" s="262">
        <f t="shared" si="2"/>
        <v>310</v>
      </c>
      <c r="AN91">
        <f t="shared" si="3"/>
        <v>18</v>
      </c>
      <c r="AO91" s="283" t="s">
        <v>1368</v>
      </c>
      <c r="AP91" s="262">
        <f t="shared" si="4"/>
        <v>178</v>
      </c>
      <c r="AQ91" s="7">
        <f t="shared" si="5"/>
        <v>64</v>
      </c>
      <c r="AR91" t="s">
        <v>1369</v>
      </c>
      <c r="AS91"/>
      <c r="AV91" s="259"/>
      <c r="AW91" s="259"/>
      <c r="AY91" s="7" t="s">
        <v>1377</v>
      </c>
      <c r="AZ91" s="53" t="s">
        <v>1418</v>
      </c>
      <c r="BA91" s="285">
        <f>AVERAGE(AP91:AP93)+90</f>
        <v>267.66666666666663</v>
      </c>
      <c r="BB91" s="285">
        <f>90-AVERAGE(AQ91:AQ93)</f>
        <v>29.333333333333336</v>
      </c>
      <c r="BC91" s="7">
        <v>282.39999999999998</v>
      </c>
      <c r="BD91" s="7" t="s">
        <v>1491</v>
      </c>
      <c r="BE91" s="7" t="s">
        <v>258</v>
      </c>
      <c r="BF91" s="7" t="s">
        <v>1437</v>
      </c>
    </row>
    <row r="92" spans="1:106">
      <c r="A92" s="319" t="s">
        <v>1436</v>
      </c>
      <c r="B92" s="247" t="str">
        <f>[2]AMS_raw!A41</f>
        <v>BB44_3</v>
      </c>
      <c r="C92" s="405"/>
      <c r="D92" s="246"/>
      <c r="E92" s="247"/>
      <c r="F92" s="247"/>
      <c r="G92" s="247"/>
      <c r="H92" s="247">
        <v>182</v>
      </c>
      <c r="I92" s="247">
        <v>40</v>
      </c>
      <c r="J92" s="250"/>
      <c r="K92" s="279">
        <f>[2]AMS_raw!G41</f>
        <v>301.2</v>
      </c>
      <c r="L92" s="250">
        <f>[2]AMS_raw!H41</f>
        <v>4.5999999999999999E-2</v>
      </c>
      <c r="M92" s="247">
        <f>[2]AMS_raw!M41</f>
        <v>1.016</v>
      </c>
      <c r="N92" s="247">
        <f>[2]AMS_raw!N41</f>
        <v>1.0032000000000001</v>
      </c>
      <c r="O92" s="247">
        <f>[2]AMS_raw!O41</f>
        <v>0.98080000000000001</v>
      </c>
      <c r="P92" s="255"/>
      <c r="Q92" s="256"/>
      <c r="R92" s="256"/>
      <c r="S92" s="280">
        <f>[2]AMS_raw!S41</f>
        <v>0.44700000000000001</v>
      </c>
      <c r="T92" s="280">
        <f>[2]AMS_raw!T41</f>
        <v>1.01</v>
      </c>
      <c r="U92" s="280">
        <f>[2]AMS_raw!U41</f>
        <v>0.27800000000000002</v>
      </c>
      <c r="V92" s="256">
        <f t="shared" si="1"/>
        <v>3.4645669291338592</v>
      </c>
      <c r="W92" s="247">
        <f>[2]AMS_raw!V41</f>
        <v>0.27</v>
      </c>
      <c r="X92" s="247">
        <f>[2]AMS_raw!AM41</f>
        <v>309</v>
      </c>
      <c r="Y92" s="247">
        <f>[2]AMS_raw!AN41</f>
        <v>6</v>
      </c>
      <c r="Z92" s="282"/>
      <c r="AA92" s="282"/>
      <c r="AB92" s="282"/>
      <c r="AC92" s="247">
        <f>[2]AMS_raw!AQ41</f>
        <v>45</v>
      </c>
      <c r="AD92" s="247">
        <f>[2]AMS_raw!AR41</f>
        <v>41</v>
      </c>
      <c r="AE92" s="261"/>
      <c r="AF92" s="247">
        <f>[2]AMS_raw!AD41</f>
        <v>315</v>
      </c>
      <c r="AG92" s="247">
        <f>[2]AMS_raw!AE41</f>
        <v>24</v>
      </c>
      <c r="AH92" s="247">
        <f>[2]AMS_raw!AG41</f>
        <v>55</v>
      </c>
      <c r="AI92" s="247">
        <f>[2]AMS_raw!AH41</f>
        <v>20</v>
      </c>
      <c r="AJ92" s="247">
        <f>[2]AMS_raw!AJ41</f>
        <v>180</v>
      </c>
      <c r="AK92" s="247">
        <f>[2]AMS_raw!AK41</f>
        <v>58</v>
      </c>
      <c r="AL92" s="259"/>
      <c r="AM92" s="262">
        <f t="shared" si="2"/>
        <v>315</v>
      </c>
      <c r="AN92">
        <f t="shared" si="3"/>
        <v>24</v>
      </c>
      <c r="AO92" s="283" t="s">
        <v>1368</v>
      </c>
      <c r="AP92" s="262">
        <f t="shared" si="4"/>
        <v>180</v>
      </c>
      <c r="AQ92" s="7">
        <f t="shared" si="5"/>
        <v>58</v>
      </c>
      <c r="AR92" t="s">
        <v>1369</v>
      </c>
      <c r="AS92"/>
      <c r="AV92" s="259"/>
      <c r="AW92" s="259"/>
      <c r="AY92" s="7" t="s">
        <v>1400</v>
      </c>
      <c r="AZ92" s="53" t="s">
        <v>1418</v>
      </c>
    </row>
    <row r="93" spans="1:106" s="356" customFormat="1">
      <c r="A93" s="351" t="s">
        <v>1436</v>
      </c>
      <c r="B93" s="264" t="str">
        <f>[2]AMS_raw!A42</f>
        <v>BB44_4</v>
      </c>
      <c r="C93" s="407"/>
      <c r="D93" s="266"/>
      <c r="E93" s="264"/>
      <c r="F93" s="264"/>
      <c r="G93" s="264"/>
      <c r="H93" s="264">
        <v>182</v>
      </c>
      <c r="I93" s="264">
        <v>40</v>
      </c>
      <c r="J93" s="352"/>
      <c r="K93" s="360">
        <f>[2]AMS_raw!G42</f>
        <v>290.8</v>
      </c>
      <c r="L93" s="352">
        <f>[2]AMS_raw!H42</f>
        <v>0.13200000000000001</v>
      </c>
      <c r="M93" s="264">
        <f>[2]AMS_raw!M42</f>
        <v>1.0177</v>
      </c>
      <c r="N93" s="264">
        <f>[2]AMS_raw!N42</f>
        <v>1.0022</v>
      </c>
      <c r="O93" s="264">
        <f>[2]AMS_raw!O42</f>
        <v>0.98009999999999997</v>
      </c>
      <c r="P93" s="271"/>
      <c r="Q93" s="272"/>
      <c r="R93" s="272"/>
      <c r="S93" s="354">
        <f>[2]AMS_raw!S42</f>
        <v>0.51600000000000001</v>
      </c>
      <c r="T93" s="354">
        <f>[2]AMS_raw!T42</f>
        <v>1.0069999999999999</v>
      </c>
      <c r="U93" s="354">
        <f>[2]AMS_raw!U42</f>
        <v>0.188</v>
      </c>
      <c r="V93" s="272">
        <f t="shared" si="1"/>
        <v>3.6946054829517614</v>
      </c>
      <c r="W93" s="264">
        <f>[2]AMS_raw!V42</f>
        <v>0.17899999999999999</v>
      </c>
      <c r="X93" s="264">
        <f>[2]AMS_raw!AM42</f>
        <v>310</v>
      </c>
      <c r="Y93" s="264">
        <f>[2]AMS_raw!AN42</f>
        <v>5</v>
      </c>
      <c r="Z93" s="276"/>
      <c r="AA93" s="276"/>
      <c r="AB93" s="276"/>
      <c r="AC93" s="264">
        <f>[2]AMS_raw!AQ42</f>
        <v>45</v>
      </c>
      <c r="AD93" s="264">
        <f>[2]AMS_raw!AR42</f>
        <v>45</v>
      </c>
      <c r="AE93" s="277"/>
      <c r="AF93" s="264">
        <f>[2]AMS_raw!AD42</f>
        <v>318</v>
      </c>
      <c r="AG93" s="264">
        <f>[2]AMS_raw!AE42</f>
        <v>25</v>
      </c>
      <c r="AH93" s="247">
        <f>[2]AMS_raw!AG42</f>
        <v>56</v>
      </c>
      <c r="AI93" s="247">
        <f>[2]AMS_raw!AH42</f>
        <v>16</v>
      </c>
      <c r="AJ93" s="264">
        <f>[2]AMS_raw!AJ42</f>
        <v>175</v>
      </c>
      <c r="AK93" s="264">
        <f>[2]AMS_raw!AK42</f>
        <v>60</v>
      </c>
      <c r="AL93" s="275"/>
      <c r="AM93" s="355">
        <f t="shared" si="2"/>
        <v>318</v>
      </c>
      <c r="AN93" s="356">
        <f t="shared" si="3"/>
        <v>25</v>
      </c>
      <c r="AO93" s="359" t="s">
        <v>1368</v>
      </c>
      <c r="AP93" s="355">
        <f t="shared" si="4"/>
        <v>175</v>
      </c>
      <c r="AQ93" s="357">
        <f t="shared" si="5"/>
        <v>60</v>
      </c>
      <c r="AR93" s="356" t="s">
        <v>1369</v>
      </c>
      <c r="AV93" s="275"/>
      <c r="AW93" s="275"/>
      <c r="AY93" s="357" t="s">
        <v>1377</v>
      </c>
      <c r="AZ93" s="53" t="s">
        <v>1418</v>
      </c>
      <c r="BA93" s="408"/>
      <c r="BC93" s="357"/>
      <c r="BD93" s="357"/>
      <c r="BE93" s="357"/>
      <c r="BF93" s="357"/>
      <c r="BG93" s="357"/>
      <c r="BH93" s="357"/>
      <c r="BI93" s="357"/>
      <c r="BJ93" s="357"/>
      <c r="BK93" s="357"/>
      <c r="BL93" s="357"/>
      <c r="BM93" s="357"/>
      <c r="BN93" s="357"/>
      <c r="BO93" s="357"/>
      <c r="BP93" s="357"/>
      <c r="BQ93" s="357"/>
      <c r="BR93" s="357"/>
      <c r="BS93" s="357"/>
      <c r="BT93" s="357"/>
      <c r="BU93" s="357"/>
      <c r="BV93" s="357"/>
      <c r="BW93" s="357"/>
      <c r="BX93" s="357"/>
      <c r="BY93" s="357"/>
      <c r="BZ93" s="357"/>
      <c r="CA93" s="357"/>
      <c r="CB93" s="357"/>
      <c r="CC93" s="357"/>
      <c r="CD93" s="357"/>
      <c r="CE93" s="357"/>
      <c r="CF93" s="357"/>
      <c r="CG93" s="357"/>
      <c r="CH93" s="357"/>
      <c r="CI93" s="357"/>
      <c r="CJ93" s="357"/>
      <c r="CK93" s="357"/>
      <c r="CL93" s="357"/>
      <c r="CM93" s="357"/>
      <c r="CN93" s="357"/>
      <c r="CO93" s="357"/>
      <c r="CP93" s="357"/>
      <c r="CQ93" s="357"/>
      <c r="CR93" s="357"/>
      <c r="CS93" s="357"/>
      <c r="CT93" s="357"/>
      <c r="CU93" s="357"/>
      <c r="CV93" s="357"/>
      <c r="CW93" s="357"/>
      <c r="CX93" s="357"/>
      <c r="CY93" s="357"/>
      <c r="CZ93" s="357"/>
      <c r="DA93" s="357"/>
      <c r="DB93" s="357"/>
    </row>
    <row r="94" spans="1:106">
      <c r="A94" s="319" t="s">
        <v>1436</v>
      </c>
      <c r="B94" s="245" t="s">
        <v>1438</v>
      </c>
      <c r="C94" s="362">
        <v>23.384</v>
      </c>
      <c r="D94" s="246">
        <v>3</v>
      </c>
      <c r="E94" s="247">
        <v>0</v>
      </c>
      <c r="F94" s="247">
        <v>3</v>
      </c>
      <c r="G94" s="247">
        <v>90</v>
      </c>
      <c r="H94" s="248">
        <v>357.4</v>
      </c>
      <c r="I94" s="249">
        <v>90</v>
      </c>
      <c r="J94" s="250">
        <f t="shared" si="0"/>
        <v>177.39999999999998</v>
      </c>
      <c r="K94" s="251">
        <f>329.9</f>
        <v>329.9</v>
      </c>
      <c r="L94" s="252">
        <v>3.5000000000000003E-2</v>
      </c>
      <c r="M94" s="253">
        <v>1.024</v>
      </c>
      <c r="N94" s="254">
        <v>0.99650000000000005</v>
      </c>
      <c r="O94" s="254">
        <v>0.97940000000000005</v>
      </c>
      <c r="P94" s="255">
        <v>1.046</v>
      </c>
      <c r="Q94" s="256">
        <v>1.028</v>
      </c>
      <c r="R94" s="256">
        <v>1.0169999999999999</v>
      </c>
      <c r="S94" s="257">
        <v>0.89</v>
      </c>
      <c r="T94" s="257">
        <v>0.99</v>
      </c>
      <c r="U94" s="258">
        <v>-0.222</v>
      </c>
      <c r="V94" s="256">
        <f t="shared" si="1"/>
        <v>4.3554687499999973</v>
      </c>
      <c r="W94" s="252">
        <v>-0.23200000000000001</v>
      </c>
      <c r="X94" s="259">
        <v>358</v>
      </c>
      <c r="Y94" s="259">
        <v>76</v>
      </c>
      <c r="Z94" s="260">
        <v>1.6</v>
      </c>
      <c r="AA94" s="260">
        <v>237</v>
      </c>
      <c r="AB94" s="260">
        <v>7</v>
      </c>
      <c r="AC94" s="259">
        <v>146</v>
      </c>
      <c r="AD94" s="259">
        <v>12</v>
      </c>
      <c r="AE94" s="261">
        <v>1</v>
      </c>
      <c r="AF94">
        <v>281.39999999999998</v>
      </c>
      <c r="AG94">
        <v>-0.5</v>
      </c>
      <c r="AJ94">
        <v>191.8</v>
      </c>
      <c r="AK94">
        <v>33.200000000000003</v>
      </c>
      <c r="AL94" s="259"/>
      <c r="AM94" s="262">
        <f t="shared" si="2"/>
        <v>101.39999999999998</v>
      </c>
      <c r="AN94">
        <f t="shared" si="3"/>
        <v>0.5</v>
      </c>
      <c r="AO94" t="s">
        <v>1343</v>
      </c>
      <c r="AP94" s="262">
        <f t="shared" si="4"/>
        <v>191.8</v>
      </c>
      <c r="AQ94">
        <f t="shared" si="5"/>
        <v>33.200000000000003</v>
      </c>
      <c r="AR94" t="s">
        <v>1356</v>
      </c>
      <c r="AS94">
        <v>11.8</v>
      </c>
      <c r="AT94">
        <v>33.200000000000003</v>
      </c>
      <c r="AV94" s="259">
        <v>101.39999999999998</v>
      </c>
      <c r="AW94" s="259">
        <v>0.5</v>
      </c>
      <c r="AX94" t="s">
        <v>1343</v>
      </c>
      <c r="AY94" s="7" t="s">
        <v>103</v>
      </c>
      <c r="AZ94" s="53" t="s">
        <v>1373</v>
      </c>
      <c r="BA94" s="285">
        <f>AVERAGE(AP94:AP97)+90</f>
        <v>281.02499999999998</v>
      </c>
      <c r="BB94" s="285">
        <f>90-AVERAGE(AQ94:AQ97)</f>
        <v>54.55</v>
      </c>
      <c r="BC94" s="7">
        <v>282.39999999999998</v>
      </c>
      <c r="BD94" s="7" t="s">
        <v>1492</v>
      </c>
      <c r="BE94" s="7" t="s">
        <v>1500</v>
      </c>
    </row>
    <row r="95" spans="1:106">
      <c r="A95" s="319" t="s">
        <v>1436</v>
      </c>
      <c r="B95" s="245" t="s">
        <v>1439</v>
      </c>
      <c r="C95" s="362">
        <v>22.818000000000001</v>
      </c>
      <c r="D95" s="246">
        <v>3</v>
      </c>
      <c r="E95" s="247">
        <v>0</v>
      </c>
      <c r="F95" s="247">
        <v>3</v>
      </c>
      <c r="G95" s="247">
        <v>90</v>
      </c>
      <c r="H95" s="248">
        <v>357.4</v>
      </c>
      <c r="I95" s="249">
        <v>90</v>
      </c>
      <c r="J95" s="250">
        <f t="shared" si="0"/>
        <v>177.39999999999998</v>
      </c>
      <c r="K95" s="251">
        <f>300.5</f>
        <v>300.5</v>
      </c>
      <c r="L95" s="252">
        <v>2.8000000000000001E-2</v>
      </c>
      <c r="M95" s="253">
        <v>1.0244</v>
      </c>
      <c r="N95" s="254">
        <v>0.99550000000000005</v>
      </c>
      <c r="O95" s="254">
        <v>0.98</v>
      </c>
      <c r="P95" s="255">
        <v>1.0449999999999999</v>
      </c>
      <c r="Q95" s="256">
        <v>1.0289999999999999</v>
      </c>
      <c r="R95" s="256">
        <v>1.016</v>
      </c>
      <c r="S95" s="257">
        <v>0.96499999999999997</v>
      </c>
      <c r="T95" s="257">
        <v>0.98699999999999999</v>
      </c>
      <c r="U95" s="258">
        <v>-0.29199999999999998</v>
      </c>
      <c r="V95" s="256">
        <f t="shared" si="1"/>
        <v>4.3342444357672782</v>
      </c>
      <c r="W95" s="252">
        <v>-0.30199999999999999</v>
      </c>
      <c r="X95" s="259">
        <v>21</v>
      </c>
      <c r="Y95" s="259">
        <v>77</v>
      </c>
      <c r="Z95" s="260">
        <v>1.2</v>
      </c>
      <c r="AA95" s="260">
        <v>238</v>
      </c>
      <c r="AB95" s="260">
        <v>10</v>
      </c>
      <c r="AC95" s="259">
        <v>146</v>
      </c>
      <c r="AD95" s="259">
        <v>8</v>
      </c>
      <c r="AE95" s="261">
        <v>0.8</v>
      </c>
      <c r="AF95">
        <v>279.60000000000002</v>
      </c>
      <c r="AG95">
        <v>4.5999999999999996</v>
      </c>
      <c r="AJ95">
        <v>187</v>
      </c>
      <c r="AK95">
        <v>33.6</v>
      </c>
      <c r="AL95" s="259"/>
      <c r="AM95" s="262">
        <f t="shared" si="2"/>
        <v>279.60000000000002</v>
      </c>
      <c r="AN95">
        <f t="shared" si="3"/>
        <v>4.5999999999999996</v>
      </c>
      <c r="AO95" t="s">
        <v>1343</v>
      </c>
      <c r="AP95" s="262">
        <f t="shared" si="4"/>
        <v>187</v>
      </c>
      <c r="AQ95">
        <f t="shared" si="5"/>
        <v>33.6</v>
      </c>
      <c r="AR95" t="s">
        <v>1356</v>
      </c>
      <c r="AS95">
        <v>7</v>
      </c>
      <c r="AT95">
        <v>33.6</v>
      </c>
      <c r="AV95" s="259">
        <v>279.60000000000002</v>
      </c>
      <c r="AW95" s="259">
        <v>4.5999999999999996</v>
      </c>
      <c r="AX95" t="s">
        <v>1343</v>
      </c>
      <c r="AY95" s="7" t="s">
        <v>103</v>
      </c>
      <c r="AZ95" s="53" t="s">
        <v>1373</v>
      </c>
      <c r="BA95" s="66"/>
      <c r="BB95" s="7"/>
    </row>
    <row r="96" spans="1:106">
      <c r="A96" s="319" t="s">
        <v>1436</v>
      </c>
      <c r="B96" s="245" t="s">
        <v>1440</v>
      </c>
      <c r="C96" s="431"/>
      <c r="D96" s="246">
        <v>3</v>
      </c>
      <c r="E96" s="247">
        <v>0</v>
      </c>
      <c r="F96" s="247">
        <v>3</v>
      </c>
      <c r="G96" s="247">
        <v>90</v>
      </c>
      <c r="H96" s="248">
        <v>357.4</v>
      </c>
      <c r="I96" s="249">
        <v>90</v>
      </c>
      <c r="J96" s="250">
        <f t="shared" si="0"/>
        <v>177.39999999999998</v>
      </c>
      <c r="K96" s="251">
        <f>313.4</f>
        <v>313.39999999999998</v>
      </c>
      <c r="L96" s="252">
        <v>0.02</v>
      </c>
      <c r="M96" s="253">
        <v>1.0239</v>
      </c>
      <c r="N96" s="254">
        <v>0.99639999999999995</v>
      </c>
      <c r="O96" s="254">
        <v>0.97970000000000002</v>
      </c>
      <c r="P96" s="255">
        <v>1.0449999999999999</v>
      </c>
      <c r="Q96" s="256">
        <v>1.028</v>
      </c>
      <c r="R96" s="256">
        <v>1.0169999999999999</v>
      </c>
      <c r="S96" s="257">
        <v>0.90500000000000003</v>
      </c>
      <c r="T96" s="257">
        <v>0.99</v>
      </c>
      <c r="U96" s="258">
        <v>-0.23599999999999999</v>
      </c>
      <c r="V96" s="256">
        <f t="shared" si="1"/>
        <v>4.3168278152163309</v>
      </c>
      <c r="W96" s="252">
        <v>-0.246</v>
      </c>
      <c r="X96" s="259">
        <v>360</v>
      </c>
      <c r="Y96" s="259">
        <v>74</v>
      </c>
      <c r="Z96" s="260">
        <v>0.9</v>
      </c>
      <c r="AA96" s="260">
        <v>231</v>
      </c>
      <c r="AB96" s="260">
        <v>10</v>
      </c>
      <c r="AC96" s="259">
        <v>138</v>
      </c>
      <c r="AD96" s="259">
        <v>12</v>
      </c>
      <c r="AE96" s="261">
        <v>0.5</v>
      </c>
      <c r="AF96">
        <v>283.39999999999998</v>
      </c>
      <c r="AG96">
        <v>0</v>
      </c>
      <c r="AJ96">
        <v>193.4</v>
      </c>
      <c r="AK96">
        <v>40.9</v>
      </c>
      <c r="AL96" s="259"/>
      <c r="AM96" s="262">
        <f t="shared" si="2"/>
        <v>283.39999999999998</v>
      </c>
      <c r="AN96">
        <f t="shared" si="3"/>
        <v>0</v>
      </c>
      <c r="AO96" t="s">
        <v>1343</v>
      </c>
      <c r="AP96" s="262">
        <f t="shared" si="4"/>
        <v>193.4</v>
      </c>
      <c r="AQ96">
        <f t="shared" si="5"/>
        <v>40.9</v>
      </c>
      <c r="AR96" t="s">
        <v>1356</v>
      </c>
      <c r="AS96">
        <v>13.4</v>
      </c>
      <c r="AT96">
        <v>40.9</v>
      </c>
      <c r="AV96" s="259">
        <v>283.39999999999998</v>
      </c>
      <c r="AW96" s="259">
        <v>0</v>
      </c>
      <c r="AX96" t="s">
        <v>1343</v>
      </c>
      <c r="AY96" s="7" t="s">
        <v>103</v>
      </c>
      <c r="AZ96" s="53" t="s">
        <v>1373</v>
      </c>
      <c r="BA96" s="66"/>
      <c r="BB96" s="7"/>
    </row>
    <row r="97" spans="1:106" s="356" customFormat="1">
      <c r="A97" s="351" t="s">
        <v>1436</v>
      </c>
      <c r="B97" s="264" t="s">
        <v>1441</v>
      </c>
      <c r="C97" s="407"/>
      <c r="D97" s="266">
        <v>3</v>
      </c>
      <c r="E97" s="264">
        <v>0</v>
      </c>
      <c r="F97" s="264">
        <v>3</v>
      </c>
      <c r="G97" s="264">
        <v>90</v>
      </c>
      <c r="H97" s="320">
        <v>357.4</v>
      </c>
      <c r="I97" s="364">
        <v>90</v>
      </c>
      <c r="J97" s="352">
        <f t="shared" si="0"/>
        <v>177.39999999999998</v>
      </c>
      <c r="K97" s="267">
        <f>315.5</f>
        <v>315.5</v>
      </c>
      <c r="L97" s="268">
        <v>1.4999999999999999E-2</v>
      </c>
      <c r="M97" s="269">
        <v>1.0245</v>
      </c>
      <c r="N97" s="270">
        <v>0.99670000000000003</v>
      </c>
      <c r="O97" s="270">
        <v>0.97870000000000001</v>
      </c>
      <c r="P97" s="271">
        <v>1.0469999999999999</v>
      </c>
      <c r="Q97" s="272">
        <v>1.028</v>
      </c>
      <c r="R97" s="272">
        <v>1.018</v>
      </c>
      <c r="S97" s="273">
        <v>0.872</v>
      </c>
      <c r="T97" s="273">
        <v>0.99099999999999999</v>
      </c>
      <c r="U97" s="274">
        <v>-0.20300000000000001</v>
      </c>
      <c r="V97" s="272">
        <f t="shared" si="1"/>
        <v>4.4704734016593406</v>
      </c>
      <c r="W97" s="268">
        <v>-0.214</v>
      </c>
      <c r="X97" s="275">
        <v>5</v>
      </c>
      <c r="Y97" s="275">
        <v>75</v>
      </c>
      <c r="Z97" s="276">
        <v>0.7</v>
      </c>
      <c r="AA97" s="260">
        <v>237</v>
      </c>
      <c r="AB97" s="260">
        <v>9</v>
      </c>
      <c r="AC97" s="275">
        <v>145</v>
      </c>
      <c r="AD97" s="275">
        <v>12</v>
      </c>
      <c r="AE97" s="277">
        <v>0.4</v>
      </c>
      <c r="AF97" s="356">
        <v>282.3</v>
      </c>
      <c r="AG97" s="356">
        <v>1.3</v>
      </c>
      <c r="AJ97" s="356">
        <v>191.9</v>
      </c>
      <c r="AK97" s="356">
        <v>34.1</v>
      </c>
      <c r="AL97" s="275"/>
      <c r="AM97" s="355">
        <f t="shared" si="2"/>
        <v>282.3</v>
      </c>
      <c r="AN97" s="356">
        <f t="shared" si="3"/>
        <v>1.3</v>
      </c>
      <c r="AO97" s="356" t="s">
        <v>1343</v>
      </c>
      <c r="AP97" s="355">
        <f t="shared" si="4"/>
        <v>191.9</v>
      </c>
      <c r="AQ97" s="356">
        <f t="shared" si="5"/>
        <v>34.1</v>
      </c>
      <c r="AR97" s="356" t="s">
        <v>1356</v>
      </c>
      <c r="AS97" s="356">
        <v>11.9</v>
      </c>
      <c r="AT97" s="356">
        <v>34.1</v>
      </c>
      <c r="AV97" s="275">
        <v>282.3</v>
      </c>
      <c r="AW97" s="275">
        <v>1.3</v>
      </c>
      <c r="AX97" s="356" t="s">
        <v>1343</v>
      </c>
      <c r="AY97" s="357" t="s">
        <v>103</v>
      </c>
      <c r="AZ97" s="53" t="s">
        <v>1373</v>
      </c>
      <c r="BA97" s="358"/>
      <c r="BB97" s="357"/>
      <c r="BC97" s="357"/>
      <c r="BD97" s="357"/>
      <c r="BE97" s="357"/>
      <c r="BF97" s="357"/>
      <c r="BG97" s="357"/>
      <c r="BH97" s="357"/>
      <c r="BI97" s="357"/>
      <c r="BJ97" s="357"/>
      <c r="BK97" s="357"/>
      <c r="BL97" s="357"/>
      <c r="BM97" s="357"/>
      <c r="BN97" s="357"/>
      <c r="BO97" s="357"/>
      <c r="BP97" s="357"/>
      <c r="BQ97" s="357"/>
      <c r="BR97" s="357"/>
      <c r="BS97" s="357"/>
      <c r="BT97" s="357"/>
      <c r="BU97" s="357"/>
      <c r="BV97" s="357"/>
      <c r="BW97" s="357"/>
      <c r="BX97" s="357"/>
      <c r="BY97" s="357"/>
      <c r="BZ97" s="357"/>
      <c r="CA97" s="357"/>
      <c r="CB97" s="357"/>
      <c r="CC97" s="357"/>
      <c r="CD97" s="357"/>
      <c r="CE97" s="357"/>
      <c r="CF97" s="357"/>
      <c r="CG97" s="357"/>
      <c r="CH97" s="357"/>
      <c r="CI97" s="357"/>
      <c r="CJ97" s="357"/>
      <c r="CK97" s="357"/>
      <c r="CL97" s="357"/>
      <c r="CM97" s="357"/>
      <c r="CN97" s="357"/>
      <c r="CO97" s="357"/>
      <c r="CP97" s="357"/>
      <c r="CQ97" s="357"/>
      <c r="CR97" s="357"/>
      <c r="CS97" s="357"/>
      <c r="CT97" s="357"/>
      <c r="CU97" s="357"/>
      <c r="CV97" s="357"/>
      <c r="CW97" s="357"/>
      <c r="CX97" s="357"/>
      <c r="CY97" s="357"/>
      <c r="CZ97" s="357"/>
      <c r="DA97" s="357"/>
      <c r="DB97" s="357"/>
    </row>
    <row r="98" spans="1:106" s="283" customFormat="1">
      <c r="A98" s="319" t="s">
        <v>1436</v>
      </c>
      <c r="B98" s="288" t="s">
        <v>1442</v>
      </c>
      <c r="C98" s="350">
        <v>21.131</v>
      </c>
      <c r="D98" s="289">
        <v>3</v>
      </c>
      <c r="E98" s="290">
        <v>0</v>
      </c>
      <c r="F98" s="290">
        <v>3</v>
      </c>
      <c r="G98" s="290">
        <v>90</v>
      </c>
      <c r="H98" s="291">
        <v>32.4</v>
      </c>
      <c r="I98" s="292">
        <v>12</v>
      </c>
      <c r="J98" s="250">
        <f t="shared" si="0"/>
        <v>212.4</v>
      </c>
      <c r="K98" s="251">
        <f>317.2</f>
        <v>317.2</v>
      </c>
      <c r="L98" s="293">
        <v>3.3000000000000002E-2</v>
      </c>
      <c r="M98" s="294">
        <v>1.0249999999999999</v>
      </c>
      <c r="N98" s="295">
        <v>1.0038</v>
      </c>
      <c r="O98" s="295">
        <v>0.97119999999999995</v>
      </c>
      <c r="P98" s="296">
        <v>1.0549999999999999</v>
      </c>
      <c r="Q98" s="297">
        <v>1.0209999999999999</v>
      </c>
      <c r="R98" s="297">
        <v>1.0329999999999999</v>
      </c>
      <c r="S98" s="257">
        <v>0.49199999999999999</v>
      </c>
      <c r="T98" s="257">
        <v>1.012</v>
      </c>
      <c r="U98" s="257">
        <v>0.223</v>
      </c>
      <c r="V98" s="297">
        <f t="shared" si="1"/>
        <v>5.2487804878048738</v>
      </c>
      <c r="W98" s="293">
        <v>0.21</v>
      </c>
      <c r="X98" s="298">
        <v>256</v>
      </c>
      <c r="Y98" s="298">
        <v>10</v>
      </c>
      <c r="Z98" s="299">
        <v>1.9</v>
      </c>
      <c r="AA98" s="260">
        <v>359</v>
      </c>
      <c r="AB98" s="260">
        <v>51</v>
      </c>
      <c r="AC98" s="298">
        <v>158</v>
      </c>
      <c r="AD98" s="298">
        <v>37</v>
      </c>
      <c r="AE98" s="300">
        <v>0.7</v>
      </c>
      <c r="AF98" s="283">
        <v>288.60000000000002</v>
      </c>
      <c r="AG98" s="283">
        <v>-1.7</v>
      </c>
      <c r="AJ98" s="283">
        <v>199.7</v>
      </c>
      <c r="AK98" s="283">
        <v>40.6</v>
      </c>
      <c r="AL98" s="298"/>
      <c r="AM98" s="262">
        <f t="shared" si="2"/>
        <v>108.60000000000002</v>
      </c>
      <c r="AN98">
        <f t="shared" si="3"/>
        <v>1.7</v>
      </c>
      <c r="AO98" s="283" t="s">
        <v>1368</v>
      </c>
      <c r="AP98" s="262">
        <f t="shared" si="4"/>
        <v>199.7</v>
      </c>
      <c r="AQ98">
        <f t="shared" si="5"/>
        <v>40.6</v>
      </c>
      <c r="AR98" s="7" t="s">
        <v>1372</v>
      </c>
      <c r="AS98" s="7">
        <v>19.7</v>
      </c>
      <c r="AT98" s="7">
        <v>40.6</v>
      </c>
      <c r="AU98" s="7"/>
      <c r="AV98" s="302">
        <v>108.60000000000002</v>
      </c>
      <c r="AW98" s="302">
        <v>1.7</v>
      </c>
      <c r="AX98" s="7" t="s">
        <v>1368</v>
      </c>
      <c r="AY98" s="7" t="s">
        <v>1400</v>
      </c>
      <c r="AZ98" s="53" t="s">
        <v>1373</v>
      </c>
      <c r="BA98" s="285">
        <f>AVERAGE(AP98:AP101)+90</f>
        <v>289.35000000000002</v>
      </c>
      <c r="BB98" s="285">
        <f>90-AVERAGE(AQ98:AQ101)</f>
        <v>50.375</v>
      </c>
      <c r="BC98" s="286">
        <v>291.39999999999998</v>
      </c>
      <c r="BD98" s="286" t="s">
        <v>1493</v>
      </c>
      <c r="BE98" s="7" t="s">
        <v>39</v>
      </c>
      <c r="BF98" s="7" t="s">
        <v>1423</v>
      </c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</row>
    <row r="99" spans="1:106" s="283" customFormat="1">
      <c r="A99" s="319" t="s">
        <v>1436</v>
      </c>
      <c r="B99" s="288" t="s">
        <v>1443</v>
      </c>
      <c r="C99" s="350">
        <v>22.638999999999999</v>
      </c>
      <c r="D99" s="289">
        <v>3</v>
      </c>
      <c r="E99" s="290">
        <v>0</v>
      </c>
      <c r="F99" s="290">
        <v>3</v>
      </c>
      <c r="G99" s="290">
        <v>90</v>
      </c>
      <c r="H99" s="291">
        <v>32.4</v>
      </c>
      <c r="I99" s="292">
        <v>12</v>
      </c>
      <c r="J99" s="250">
        <f t="shared" si="0"/>
        <v>212.4</v>
      </c>
      <c r="K99" s="251">
        <f>310</f>
        <v>310</v>
      </c>
      <c r="L99" s="293">
        <v>2.5999999999999999E-2</v>
      </c>
      <c r="M99" s="294">
        <v>1.0263</v>
      </c>
      <c r="N99" s="295">
        <v>1.0046999999999999</v>
      </c>
      <c r="O99" s="295">
        <v>0.96889999999999998</v>
      </c>
      <c r="P99" s="296">
        <v>1.0589999999999999</v>
      </c>
      <c r="Q99" s="297">
        <v>1.0209999999999999</v>
      </c>
      <c r="R99" s="297">
        <v>1.0369999999999999</v>
      </c>
      <c r="S99" s="257">
        <v>0.46300000000000002</v>
      </c>
      <c r="T99" s="257">
        <v>1.0149999999999999</v>
      </c>
      <c r="U99" s="257">
        <v>0.26200000000000001</v>
      </c>
      <c r="V99" s="297">
        <f t="shared" si="1"/>
        <v>5.5929065575367831</v>
      </c>
      <c r="W99" s="293">
        <v>0.248</v>
      </c>
      <c r="X99" s="298">
        <v>258</v>
      </c>
      <c r="Y99" s="298">
        <v>11</v>
      </c>
      <c r="Z99" s="299">
        <v>1.5</v>
      </c>
      <c r="AA99" s="260">
        <v>1</v>
      </c>
      <c r="AB99" s="260">
        <v>49</v>
      </c>
      <c r="AC99" s="298">
        <v>158</v>
      </c>
      <c r="AD99" s="298">
        <v>39</v>
      </c>
      <c r="AE99" s="300">
        <v>0.5</v>
      </c>
      <c r="AF99" s="283">
        <v>290.60000000000002</v>
      </c>
      <c r="AG99" s="283">
        <v>-0.7</v>
      </c>
      <c r="AJ99" s="283">
        <v>200.3</v>
      </c>
      <c r="AK99" s="283">
        <v>42.5</v>
      </c>
      <c r="AL99" s="298"/>
      <c r="AM99" s="262">
        <f t="shared" si="2"/>
        <v>110.60000000000002</v>
      </c>
      <c r="AN99">
        <f t="shared" si="3"/>
        <v>0.7</v>
      </c>
      <c r="AO99" s="283" t="s">
        <v>1368</v>
      </c>
      <c r="AP99" s="262">
        <f t="shared" si="4"/>
        <v>200.3</v>
      </c>
      <c r="AQ99">
        <f t="shared" si="5"/>
        <v>42.5</v>
      </c>
      <c r="AR99" s="7" t="s">
        <v>1372</v>
      </c>
      <c r="AS99" s="7">
        <v>20.3</v>
      </c>
      <c r="AT99" s="7">
        <v>42.5</v>
      </c>
      <c r="AU99" s="7"/>
      <c r="AV99" s="302">
        <v>110.60000000000002</v>
      </c>
      <c r="AW99" s="302">
        <v>0.7</v>
      </c>
      <c r="AX99" s="7" t="s">
        <v>1368</v>
      </c>
      <c r="AY99" s="7" t="s">
        <v>1400</v>
      </c>
      <c r="AZ99" s="53" t="s">
        <v>1373</v>
      </c>
      <c r="BA99" s="66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</row>
    <row r="100" spans="1:106" s="283" customFormat="1">
      <c r="A100" s="319" t="s">
        <v>1436</v>
      </c>
      <c r="B100" s="288" t="s">
        <v>1444</v>
      </c>
      <c r="C100" s="303"/>
      <c r="D100" s="289">
        <v>3</v>
      </c>
      <c r="E100" s="290">
        <v>0</v>
      </c>
      <c r="F100" s="290">
        <v>3</v>
      </c>
      <c r="G100" s="290">
        <v>90</v>
      </c>
      <c r="H100" s="291">
        <v>32.4</v>
      </c>
      <c r="I100" s="292">
        <v>12</v>
      </c>
      <c r="J100" s="250">
        <f t="shared" si="0"/>
        <v>212.4</v>
      </c>
      <c r="K100" s="248">
        <f>290.4</f>
        <v>290.39999999999998</v>
      </c>
      <c r="L100" s="293">
        <v>1.9E-2</v>
      </c>
      <c r="M100" s="294">
        <v>1.0262</v>
      </c>
      <c r="N100" s="295">
        <v>1.0033000000000001</v>
      </c>
      <c r="O100" s="295">
        <v>0.97060000000000002</v>
      </c>
      <c r="P100" s="296">
        <v>1.0569999999999999</v>
      </c>
      <c r="Q100" s="297">
        <v>1.0229999999999999</v>
      </c>
      <c r="R100" s="297">
        <v>1.034</v>
      </c>
      <c r="S100" s="257">
        <v>0.51800000000000002</v>
      </c>
      <c r="T100" s="257">
        <v>1.0109999999999999</v>
      </c>
      <c r="U100" s="257">
        <v>0.19</v>
      </c>
      <c r="V100" s="297">
        <f t="shared" si="1"/>
        <v>5.4180471642954577</v>
      </c>
      <c r="W100" s="293">
        <v>0.17699999999999999</v>
      </c>
      <c r="X100" s="298">
        <v>255</v>
      </c>
      <c r="Y100" s="298">
        <v>11</v>
      </c>
      <c r="Z100" s="299">
        <v>1</v>
      </c>
      <c r="AA100" s="260">
        <v>1</v>
      </c>
      <c r="AB100" s="260">
        <v>55</v>
      </c>
      <c r="AC100" s="298">
        <v>158</v>
      </c>
      <c r="AD100" s="298">
        <v>33</v>
      </c>
      <c r="AE100" s="300">
        <v>0.4</v>
      </c>
      <c r="AF100" s="283">
        <v>287.7</v>
      </c>
      <c r="AG100" s="283">
        <v>-0.6</v>
      </c>
      <c r="AJ100" s="283">
        <v>198.4</v>
      </c>
      <c r="AK100" s="283">
        <v>36.700000000000003</v>
      </c>
      <c r="AL100" s="298"/>
      <c r="AM100" s="262">
        <f t="shared" si="2"/>
        <v>107.69999999999999</v>
      </c>
      <c r="AN100">
        <f t="shared" si="3"/>
        <v>0.6</v>
      </c>
      <c r="AO100" s="283" t="s">
        <v>1368</v>
      </c>
      <c r="AP100" s="262">
        <f t="shared" si="4"/>
        <v>198.4</v>
      </c>
      <c r="AQ100">
        <f t="shared" si="5"/>
        <v>36.700000000000003</v>
      </c>
      <c r="AR100" s="7" t="s">
        <v>1372</v>
      </c>
      <c r="AS100" s="7">
        <v>18.399999999999999</v>
      </c>
      <c r="AT100" s="7">
        <v>36.700000000000003</v>
      </c>
      <c r="AU100" s="7"/>
      <c r="AV100" s="302">
        <v>107.69999999999999</v>
      </c>
      <c r="AW100" s="302">
        <v>0.6</v>
      </c>
      <c r="AX100" s="7" t="s">
        <v>1368</v>
      </c>
      <c r="AY100" s="7" t="s">
        <v>1400</v>
      </c>
      <c r="AZ100" s="53" t="s">
        <v>1373</v>
      </c>
      <c r="BA100" s="66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</row>
    <row r="101" spans="1:106" s="283" customFormat="1">
      <c r="A101" s="319" t="s">
        <v>1436</v>
      </c>
      <c r="B101" s="306" t="s">
        <v>1445</v>
      </c>
      <c r="C101" s="307"/>
      <c r="D101" s="308">
        <v>3</v>
      </c>
      <c r="E101" s="306">
        <v>0</v>
      </c>
      <c r="F101" s="306">
        <v>3</v>
      </c>
      <c r="G101" s="306">
        <v>90</v>
      </c>
      <c r="H101" s="291">
        <v>32.4</v>
      </c>
      <c r="I101" s="292">
        <v>12</v>
      </c>
      <c r="J101" s="250">
        <f t="shared" si="0"/>
        <v>212.4</v>
      </c>
      <c r="K101" s="320">
        <f>296.9</f>
        <v>296.89999999999998</v>
      </c>
      <c r="L101" s="309">
        <v>6.0000000000000001E-3</v>
      </c>
      <c r="M101" s="310">
        <v>1.026</v>
      </c>
      <c r="N101" s="311">
        <v>1.0056</v>
      </c>
      <c r="O101" s="311">
        <v>0.96840000000000004</v>
      </c>
      <c r="P101" s="312">
        <v>1.06</v>
      </c>
      <c r="Q101" s="313">
        <v>1.02</v>
      </c>
      <c r="R101" s="313">
        <v>1.038</v>
      </c>
      <c r="S101" s="273">
        <v>0.43</v>
      </c>
      <c r="T101" s="273">
        <v>1.018</v>
      </c>
      <c r="U101" s="273">
        <v>0.30599999999999999</v>
      </c>
      <c r="V101" s="297">
        <f t="shared" si="1"/>
        <v>5.6140350877192962</v>
      </c>
      <c r="W101" s="309">
        <v>0.29199999999999998</v>
      </c>
      <c r="X101" s="314">
        <v>253</v>
      </c>
      <c r="Y101" s="314">
        <v>7</v>
      </c>
      <c r="Z101" s="315">
        <v>0.4</v>
      </c>
      <c r="AA101" s="260">
        <v>353</v>
      </c>
      <c r="AB101" s="260">
        <v>54</v>
      </c>
      <c r="AC101" s="314">
        <v>158</v>
      </c>
      <c r="AD101" s="314">
        <v>35</v>
      </c>
      <c r="AE101" s="316">
        <v>0.1</v>
      </c>
      <c r="AF101" s="283">
        <v>285.5</v>
      </c>
      <c r="AG101" s="283">
        <v>-4.5</v>
      </c>
      <c r="AJ101" s="283">
        <v>199</v>
      </c>
      <c r="AK101" s="283">
        <v>38.700000000000003</v>
      </c>
      <c r="AL101" s="298"/>
      <c r="AM101" s="262">
        <f t="shared" si="2"/>
        <v>105.5</v>
      </c>
      <c r="AN101">
        <f t="shared" si="3"/>
        <v>4.5</v>
      </c>
      <c r="AO101" s="283" t="s">
        <v>1368</v>
      </c>
      <c r="AP101" s="262">
        <f t="shared" si="4"/>
        <v>199</v>
      </c>
      <c r="AQ101">
        <f t="shared" si="5"/>
        <v>38.700000000000003</v>
      </c>
      <c r="AR101" s="7" t="s">
        <v>1372</v>
      </c>
      <c r="AS101" s="7">
        <v>19</v>
      </c>
      <c r="AT101" s="7">
        <v>38.700000000000003</v>
      </c>
      <c r="AU101" s="7"/>
      <c r="AV101" s="317">
        <v>105.5</v>
      </c>
      <c r="AW101" s="317">
        <v>4.5</v>
      </c>
      <c r="AX101" s="7" t="s">
        <v>1368</v>
      </c>
      <c r="AY101" s="7" t="s">
        <v>1400</v>
      </c>
      <c r="AZ101" s="53" t="s">
        <v>1373</v>
      </c>
      <c r="BA101" s="66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</row>
    <row r="102" spans="1:106" s="283" customFormat="1">
      <c r="A102" s="319" t="s">
        <v>1436</v>
      </c>
      <c r="B102" s="290" t="str">
        <f>[2]AMS_raw!A43</f>
        <v>BB47_1</v>
      </c>
      <c r="C102" s="318"/>
      <c r="D102" s="289"/>
      <c r="E102" s="290"/>
      <c r="F102" s="290"/>
      <c r="G102" s="290"/>
      <c r="H102" s="247">
        <v>156</v>
      </c>
      <c r="I102" s="247">
        <v>64</v>
      </c>
      <c r="J102" s="250"/>
      <c r="K102" s="284">
        <f>[2]AMS_raw!G43</f>
        <v>297.60000000000002</v>
      </c>
      <c r="L102" s="250">
        <f>[2]AMS_raw!H43</f>
        <v>9.8000000000000004E-2</v>
      </c>
      <c r="M102" s="247">
        <f>[2]AMS_raw!M43</f>
        <v>1.0333000000000001</v>
      </c>
      <c r="N102" s="247">
        <f>[2]AMS_raw!N43</f>
        <v>1.0006999999999999</v>
      </c>
      <c r="O102" s="247">
        <f>[2]AMS_raw!O43</f>
        <v>0.96599999999999997</v>
      </c>
      <c r="P102" s="255"/>
      <c r="Q102" s="256"/>
      <c r="R102" s="256"/>
      <c r="S102" s="280">
        <f>[2]AMS_raw!S43</f>
        <v>0.64</v>
      </c>
      <c r="T102" s="280">
        <f>[2]AMS_raw!T43</f>
        <v>1.0029999999999999</v>
      </c>
      <c r="U102" s="280">
        <f>[2]AMS_raw!U43</f>
        <v>4.7E-2</v>
      </c>
      <c r="V102" s="256">
        <f t="shared" si="1"/>
        <v>6.5131133262363425</v>
      </c>
      <c r="W102" s="247">
        <f>[2]AMS_raw!V43</f>
        <v>0.03</v>
      </c>
      <c r="X102" s="247">
        <f>[2]AMS_raw!AM43</f>
        <v>199</v>
      </c>
      <c r="Y102" s="247">
        <f>[2]AMS_raw!AN43</f>
        <v>40</v>
      </c>
      <c r="Z102" s="282"/>
      <c r="AA102" s="282"/>
      <c r="AB102" s="282"/>
      <c r="AC102" s="247">
        <f>[2]AMS_raw!AQ43</f>
        <v>90</v>
      </c>
      <c r="AD102" s="247">
        <f>[2]AMS_raw!AR43</f>
        <v>22</v>
      </c>
      <c r="AE102" s="261"/>
      <c r="AF102" s="247">
        <f>[2]AMS_raw!AD43</f>
        <v>20</v>
      </c>
      <c r="AG102" s="247">
        <f>[2]AMS_raw!AE43</f>
        <v>3</v>
      </c>
      <c r="AH102" s="247">
        <f>[2]AMS_raw!AG43</f>
        <v>110</v>
      </c>
      <c r="AI102" s="247">
        <f>[2]AMS_raw!AH43</f>
        <v>3</v>
      </c>
      <c r="AJ102" s="247">
        <f>[2]AMS_raw!AJ43</f>
        <v>241</v>
      </c>
      <c r="AK102" s="247">
        <f>[2]AMS_raw!AK43</f>
        <v>86</v>
      </c>
      <c r="AL102" s="298"/>
      <c r="AM102" s="262">
        <f t="shared" si="2"/>
        <v>20</v>
      </c>
      <c r="AN102">
        <f t="shared" si="3"/>
        <v>3</v>
      </c>
      <c r="AO102" t="s">
        <v>1343</v>
      </c>
      <c r="AP102" s="262">
        <f t="shared" si="4"/>
        <v>241</v>
      </c>
      <c r="AQ102">
        <f t="shared" si="5"/>
        <v>86</v>
      </c>
      <c r="AR102" s="7" t="s">
        <v>1345</v>
      </c>
      <c r="AS102" s="7"/>
      <c r="AT102" s="7"/>
      <c r="AU102" s="7"/>
      <c r="AV102" s="302"/>
      <c r="AW102" s="302"/>
      <c r="AX102" s="7"/>
      <c r="AY102" s="7" t="s">
        <v>1377</v>
      </c>
      <c r="AZ102" s="53" t="s">
        <v>1382</v>
      </c>
      <c r="BA102" s="5">
        <f>AVERAGE(AP102:AP104)+90</f>
        <v>337.33333333333337</v>
      </c>
      <c r="BB102" s="5">
        <f>90-AVERAGE(AQ102:AQ104)</f>
        <v>4.6666666666666714</v>
      </c>
      <c r="BC102" s="7">
        <v>299.39999999999998</v>
      </c>
      <c r="BD102" s="7" t="s">
        <v>1485</v>
      </c>
      <c r="BE102" s="7" t="s">
        <v>1501</v>
      </c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</row>
    <row r="103" spans="1:106" s="283" customFormat="1">
      <c r="A103" s="319" t="s">
        <v>1436</v>
      </c>
      <c r="B103" s="290" t="str">
        <f>[2]AMS_raw!A44</f>
        <v>BB47_2</v>
      </c>
      <c r="C103" s="318"/>
      <c r="D103" s="289"/>
      <c r="E103" s="290"/>
      <c r="F103" s="290"/>
      <c r="G103" s="290"/>
      <c r="H103" s="247">
        <v>156</v>
      </c>
      <c r="I103" s="247">
        <v>64</v>
      </c>
      <c r="J103" s="250"/>
      <c r="K103" s="279">
        <f>[2]AMS_raw!G44</f>
        <v>310.2</v>
      </c>
      <c r="L103" s="250">
        <f>[2]AMS_raw!H44</f>
        <v>5.2999999999999999E-2</v>
      </c>
      <c r="M103" s="247">
        <f>[2]AMS_raw!M44</f>
        <v>1.0317000000000001</v>
      </c>
      <c r="N103" s="247">
        <f>[2]AMS_raw!N44</f>
        <v>1.0004999999999999</v>
      </c>
      <c r="O103" s="247">
        <f>[2]AMS_raw!O44</f>
        <v>0.96779999999999999</v>
      </c>
      <c r="P103" s="255"/>
      <c r="Q103" s="256"/>
      <c r="R103" s="256"/>
      <c r="S103" s="280">
        <f>[2]AMS_raw!S44</f>
        <v>0.64700000000000002</v>
      </c>
      <c r="T103" s="280">
        <f>[2]AMS_raw!T44</f>
        <v>1.002</v>
      </c>
      <c r="U103" s="280">
        <f>[2]AMS_raw!U44</f>
        <v>3.7999999999999999E-2</v>
      </c>
      <c r="V103" s="256">
        <f t="shared" si="1"/>
        <v>6.1936609479499918</v>
      </c>
      <c r="W103" s="247">
        <f>[2]AMS_raw!V44</f>
        <v>2.1999999999999999E-2</v>
      </c>
      <c r="X103" s="247">
        <f>[2]AMS_raw!AM44</f>
        <v>200</v>
      </c>
      <c r="Y103" s="247">
        <f>[2]AMS_raw!AN44</f>
        <v>40</v>
      </c>
      <c r="Z103" s="282"/>
      <c r="AA103" s="282"/>
      <c r="AB103" s="282"/>
      <c r="AC103" s="247">
        <f>[2]AMS_raw!AQ44</f>
        <v>90</v>
      </c>
      <c r="AD103" s="247">
        <f>[2]AMS_raw!AR44</f>
        <v>22</v>
      </c>
      <c r="AE103" s="261"/>
      <c r="AF103" s="247">
        <f>[2]AMS_raw!AD44</f>
        <v>20</v>
      </c>
      <c r="AG103" s="247">
        <f>[2]AMS_raw!AE44</f>
        <v>3</v>
      </c>
      <c r="AH103" s="247">
        <f>[2]AMS_raw!AG44</f>
        <v>110</v>
      </c>
      <c r="AI103" s="247">
        <f>[2]AMS_raw!AH44</f>
        <v>3</v>
      </c>
      <c r="AJ103" s="247">
        <f>[2]AMS_raw!AJ44</f>
        <v>248</v>
      </c>
      <c r="AK103" s="247">
        <f>[2]AMS_raw!AK44</f>
        <v>86</v>
      </c>
      <c r="AL103" s="298"/>
      <c r="AM103" s="262">
        <f t="shared" si="2"/>
        <v>20</v>
      </c>
      <c r="AN103">
        <f t="shared" si="3"/>
        <v>3</v>
      </c>
      <c r="AO103" t="s">
        <v>1343</v>
      </c>
      <c r="AP103" s="262">
        <f t="shared" si="4"/>
        <v>248</v>
      </c>
      <c r="AQ103">
        <f t="shared" si="5"/>
        <v>86</v>
      </c>
      <c r="AR103" s="7" t="s">
        <v>1345</v>
      </c>
      <c r="AS103" s="7"/>
      <c r="AT103" s="7"/>
      <c r="AU103" s="7"/>
      <c r="AV103" s="302"/>
      <c r="AW103" s="302"/>
      <c r="AX103" s="7"/>
      <c r="AY103" s="7" t="s">
        <v>1377</v>
      </c>
      <c r="AZ103" s="53" t="s">
        <v>1382</v>
      </c>
      <c r="BA103" s="66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</row>
    <row r="104" spans="1:106" s="359" customFormat="1">
      <c r="A104" s="351" t="s">
        <v>1436</v>
      </c>
      <c r="B104" s="306" t="str">
        <f>[2]AMS_raw!A45</f>
        <v>BB47_3</v>
      </c>
      <c r="C104" s="307"/>
      <c r="D104" s="308"/>
      <c r="E104" s="306"/>
      <c r="F104" s="306"/>
      <c r="G104" s="306"/>
      <c r="H104" s="264">
        <v>156</v>
      </c>
      <c r="I104" s="264">
        <v>64</v>
      </c>
      <c r="J104" s="352"/>
      <c r="K104" s="353">
        <f>[2]AMS_raw!G45</f>
        <v>306.10000000000002</v>
      </c>
      <c r="L104" s="352">
        <f>[2]AMS_raw!H45</f>
        <v>8.6999999999999994E-2</v>
      </c>
      <c r="M104" s="264">
        <f>[2]AMS_raw!M45</f>
        <v>1.0314000000000001</v>
      </c>
      <c r="N104" s="264">
        <f>[2]AMS_raw!N45</f>
        <v>1.0006999999999999</v>
      </c>
      <c r="O104" s="264">
        <f>[2]AMS_raw!O45</f>
        <v>0.96799999999999997</v>
      </c>
      <c r="P104" s="271"/>
      <c r="Q104" s="272"/>
      <c r="R104" s="272"/>
      <c r="S104" s="354">
        <f>[2]AMS_raw!S45</f>
        <v>0.63800000000000001</v>
      </c>
      <c r="T104" s="354">
        <f>[2]AMS_raw!T45</f>
        <v>1.0029999999999999</v>
      </c>
      <c r="U104" s="354">
        <f>[2]AMS_raw!U45</f>
        <v>4.8000000000000001E-2</v>
      </c>
      <c r="V104" s="272">
        <f t="shared" si="1"/>
        <v>6.1469846810161064</v>
      </c>
      <c r="W104" s="264">
        <f>[2]AMS_raw!V45</f>
        <v>3.2000000000000001E-2</v>
      </c>
      <c r="X104" s="264">
        <f>[2]AMS_raw!AM45</f>
        <v>198</v>
      </c>
      <c r="Y104" s="264">
        <f>[2]AMS_raw!AN45</f>
        <v>39</v>
      </c>
      <c r="Z104" s="276"/>
      <c r="AA104" s="276"/>
      <c r="AB104" s="276"/>
      <c r="AC104" s="264">
        <f>[2]AMS_raw!AQ45</f>
        <v>91</v>
      </c>
      <c r="AD104" s="264">
        <f>[2]AMS_raw!AR45</f>
        <v>20</v>
      </c>
      <c r="AE104" s="277"/>
      <c r="AF104" s="264">
        <f>[2]AMS_raw!AD45</f>
        <v>19</v>
      </c>
      <c r="AG104" s="264">
        <f>[2]AMS_raw!AE45</f>
        <v>3</v>
      </c>
      <c r="AH104" s="247">
        <f>[2]AMS_raw!AG45</f>
        <v>109</v>
      </c>
      <c r="AI104" s="247">
        <f>[2]AMS_raw!AH45</f>
        <v>5</v>
      </c>
      <c r="AJ104" s="264">
        <f>[2]AMS_raw!AJ45</f>
        <v>253</v>
      </c>
      <c r="AK104" s="264">
        <f>[2]AMS_raw!AK45</f>
        <v>84</v>
      </c>
      <c r="AL104" s="314"/>
      <c r="AM104" s="355">
        <f t="shared" si="2"/>
        <v>19</v>
      </c>
      <c r="AN104" s="356">
        <f t="shared" si="3"/>
        <v>3</v>
      </c>
      <c r="AO104" s="356" t="s">
        <v>1343</v>
      </c>
      <c r="AP104" s="355">
        <f t="shared" si="4"/>
        <v>253</v>
      </c>
      <c r="AQ104" s="356">
        <f t="shared" si="5"/>
        <v>84</v>
      </c>
      <c r="AR104" s="357" t="s">
        <v>1345</v>
      </c>
      <c r="AS104" s="357"/>
      <c r="AT104" s="357"/>
      <c r="AU104" s="357"/>
      <c r="AV104" s="317"/>
      <c r="AW104" s="317"/>
      <c r="AX104" s="357"/>
      <c r="AY104" s="357" t="s">
        <v>1377</v>
      </c>
      <c r="AZ104" s="53" t="s">
        <v>1382</v>
      </c>
      <c r="BA104" s="358"/>
      <c r="BB104" s="357"/>
      <c r="BC104" s="357"/>
      <c r="BD104" s="357"/>
      <c r="BE104" s="357"/>
      <c r="BF104" s="357"/>
      <c r="BG104" s="357"/>
      <c r="BH104" s="357"/>
      <c r="BI104" s="357"/>
      <c r="BJ104" s="357"/>
      <c r="BK104" s="357"/>
      <c r="BL104" s="357"/>
      <c r="BM104" s="357"/>
      <c r="BN104" s="357"/>
      <c r="BO104" s="357"/>
      <c r="BP104" s="357"/>
      <c r="BQ104" s="357"/>
      <c r="BR104" s="357"/>
      <c r="BS104" s="357"/>
      <c r="BT104" s="357"/>
      <c r="BU104" s="357"/>
      <c r="BV104" s="357"/>
      <c r="BW104" s="357"/>
      <c r="BX104" s="357"/>
      <c r="BY104" s="357"/>
      <c r="BZ104" s="357"/>
      <c r="CA104" s="357"/>
      <c r="CB104" s="357"/>
      <c r="CC104" s="357"/>
      <c r="CD104" s="357"/>
      <c r="CE104" s="357"/>
      <c r="CF104" s="357"/>
      <c r="CG104" s="357"/>
      <c r="CH104" s="357"/>
      <c r="CI104" s="357"/>
      <c r="CJ104" s="357"/>
      <c r="CK104" s="357"/>
      <c r="CL104" s="357"/>
      <c r="CM104" s="357"/>
      <c r="CN104" s="357"/>
      <c r="CO104" s="357"/>
      <c r="CP104" s="357"/>
      <c r="CQ104" s="357"/>
      <c r="CR104" s="357"/>
      <c r="CS104" s="357"/>
      <c r="CT104" s="357"/>
      <c r="CU104" s="357"/>
      <c r="CV104" s="357"/>
      <c r="CW104" s="357"/>
      <c r="CX104" s="357"/>
      <c r="CY104" s="357"/>
      <c r="CZ104" s="357"/>
      <c r="DA104" s="357"/>
      <c r="DB104" s="357"/>
    </row>
    <row r="105" spans="1:106" s="283" customFormat="1">
      <c r="A105" s="319" t="s">
        <v>1436</v>
      </c>
      <c r="B105" s="290" t="str">
        <f>[2]AMS_raw!A46</f>
        <v>BB48_1</v>
      </c>
      <c r="C105" s="318"/>
      <c r="D105" s="289"/>
      <c r="E105" s="290"/>
      <c r="F105" s="290"/>
      <c r="G105" s="290"/>
      <c r="H105" s="247">
        <v>27</v>
      </c>
      <c r="I105" s="247">
        <v>91</v>
      </c>
      <c r="J105" s="250"/>
      <c r="K105" s="284">
        <f>[2]AMS_raw!G46</f>
        <v>234</v>
      </c>
      <c r="L105" s="250">
        <f>[2]AMS_raw!H46</f>
        <v>9.2999999999999999E-2</v>
      </c>
      <c r="M105" s="247">
        <f>[2]AMS_raw!M46</f>
        <v>1.0342</v>
      </c>
      <c r="N105" s="247">
        <f>[2]AMS_raw!N46</f>
        <v>1.0167999999999999</v>
      </c>
      <c r="O105" s="247">
        <f>[2]AMS_raw!O46</f>
        <v>0.94899999999999995</v>
      </c>
      <c r="P105" s="255"/>
      <c r="Q105" s="256"/>
      <c r="R105" s="256"/>
      <c r="S105" s="280">
        <f>[2]AMS_raw!S46</f>
        <v>0.22800000000000001</v>
      </c>
      <c r="T105" s="280">
        <f>[2]AMS_raw!T46</f>
        <v>1.0529999999999999</v>
      </c>
      <c r="U105" s="280">
        <f>[2]AMS_raw!U46</f>
        <v>0.60399999999999998</v>
      </c>
      <c r="V105" s="256">
        <f t="shared" si="1"/>
        <v>8.2382517888222822</v>
      </c>
      <c r="W105" s="247">
        <f>[2]AMS_raw!V46</f>
        <v>0.59</v>
      </c>
      <c r="X105" s="247">
        <f>[2]AMS_raw!AM46</f>
        <v>8</v>
      </c>
      <c r="Y105" s="247">
        <f>[2]AMS_raw!AN46</f>
        <v>9</v>
      </c>
      <c r="Z105" s="282"/>
      <c r="AA105" s="282"/>
      <c r="AB105" s="282"/>
      <c r="AC105" s="247">
        <f>[2]AMS_raw!AQ46</f>
        <v>268</v>
      </c>
      <c r="AD105" s="247">
        <f>[2]AMS_raw!AR46</f>
        <v>47</v>
      </c>
      <c r="AE105" s="261"/>
      <c r="AF105" s="247">
        <f>[2]AMS_raw!AD46</f>
        <v>18</v>
      </c>
      <c r="AG105" s="247">
        <f>[2]AMS_raw!AE46</f>
        <v>7</v>
      </c>
      <c r="AH105" s="247">
        <f>[2]AMS_raw!AG46</f>
        <v>281</v>
      </c>
      <c r="AI105" s="247">
        <f>[2]AMS_raw!AH46</f>
        <v>45</v>
      </c>
      <c r="AJ105" s="247">
        <f>[2]AMS_raw!AJ46</f>
        <v>115</v>
      </c>
      <c r="AK105" s="247">
        <f>[2]AMS_raw!AK46</f>
        <v>44</v>
      </c>
      <c r="AL105" s="298"/>
      <c r="AM105" s="262">
        <f t="shared" si="2"/>
        <v>18</v>
      </c>
      <c r="AN105">
        <f t="shared" si="3"/>
        <v>7</v>
      </c>
      <c r="AO105" t="s">
        <v>1343</v>
      </c>
      <c r="AP105" s="262">
        <f t="shared" si="4"/>
        <v>115</v>
      </c>
      <c r="AQ105">
        <f t="shared" si="5"/>
        <v>44</v>
      </c>
      <c r="AR105" s="7" t="s">
        <v>1345</v>
      </c>
      <c r="AS105" s="7"/>
      <c r="AT105" s="7"/>
      <c r="AU105" s="7"/>
      <c r="AV105" s="302"/>
      <c r="AW105" s="302"/>
      <c r="AX105" s="7"/>
      <c r="AY105" s="7" t="s">
        <v>1400</v>
      </c>
      <c r="AZ105" s="53" t="s">
        <v>1381</v>
      </c>
      <c r="BA105" s="5">
        <f>AVERAGE(AP105:AP107)+90</f>
        <v>205.33333333333331</v>
      </c>
      <c r="BB105" s="5">
        <f>90-AVERAGE(AQ105:AQ107)</f>
        <v>46.666666666666664</v>
      </c>
      <c r="BC105" s="7">
        <v>299.39999999999998</v>
      </c>
      <c r="BD105" s="7" t="s">
        <v>1485</v>
      </c>
      <c r="BE105" s="7" t="s">
        <v>1501</v>
      </c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</row>
    <row r="106" spans="1:106" s="283" customFormat="1">
      <c r="A106" s="319" t="s">
        <v>1436</v>
      </c>
      <c r="B106" s="290" t="str">
        <f>[2]AMS_raw!A47</f>
        <v>BB48_2</v>
      </c>
      <c r="C106" s="318"/>
      <c r="D106" s="289"/>
      <c r="E106" s="290"/>
      <c r="F106" s="290"/>
      <c r="G106" s="290"/>
      <c r="H106" s="247">
        <v>27</v>
      </c>
      <c r="I106" s="247">
        <v>91</v>
      </c>
      <c r="J106" s="250"/>
      <c r="K106" s="284">
        <f>[2]AMS_raw!G47</f>
        <v>234.3</v>
      </c>
      <c r="L106" s="250">
        <f>[2]AMS_raw!H47</f>
        <v>0.20899999999999999</v>
      </c>
      <c r="M106" s="247">
        <f>[2]AMS_raw!M47</f>
        <v>1.0331999999999999</v>
      </c>
      <c r="N106" s="247">
        <f>[2]AMS_raw!N47</f>
        <v>1.0148999999999999</v>
      </c>
      <c r="O106" s="247">
        <f>[2]AMS_raw!O47</f>
        <v>0.95189999999999997</v>
      </c>
      <c r="P106" s="255"/>
      <c r="Q106" s="256"/>
      <c r="R106" s="256"/>
      <c r="S106" s="280">
        <f>[2]AMS_raw!S47</f>
        <v>0.254</v>
      </c>
      <c r="T106" s="280">
        <f>[2]AMS_raw!T47</f>
        <v>1.0469999999999999</v>
      </c>
      <c r="U106" s="280">
        <f>[2]AMS_raw!U47</f>
        <v>0.56399999999999995</v>
      </c>
      <c r="V106" s="256">
        <f t="shared" si="1"/>
        <v>7.8687572590011543</v>
      </c>
      <c r="W106" s="247">
        <f>[2]AMS_raw!V47</f>
        <v>0.55000000000000004</v>
      </c>
      <c r="X106" s="247">
        <f>[2]AMS_raw!AM47</f>
        <v>10</v>
      </c>
      <c r="Y106" s="247">
        <f>[2]AMS_raw!AN47</f>
        <v>11</v>
      </c>
      <c r="Z106" s="282"/>
      <c r="AA106" s="282"/>
      <c r="AB106" s="282"/>
      <c r="AC106" s="247">
        <f>[2]AMS_raw!AQ47</f>
        <v>268</v>
      </c>
      <c r="AD106" s="247">
        <f>[2]AMS_raw!AR47</f>
        <v>47</v>
      </c>
      <c r="AE106" s="261"/>
      <c r="AF106" s="247">
        <f>[2]AMS_raw!AD47</f>
        <v>16</v>
      </c>
      <c r="AG106" s="247">
        <f>[2]AMS_raw!AE47</f>
        <v>10</v>
      </c>
      <c r="AH106" s="247">
        <f>[2]AMS_raw!AG47</f>
        <v>277</v>
      </c>
      <c r="AI106" s="247">
        <f>[2]AMS_raw!AH47</f>
        <v>45</v>
      </c>
      <c r="AJ106" s="247">
        <f>[2]AMS_raw!AJ47</f>
        <v>115</v>
      </c>
      <c r="AK106" s="247">
        <f>[2]AMS_raw!AK47</f>
        <v>44</v>
      </c>
      <c r="AL106" s="298"/>
      <c r="AM106" s="262">
        <f t="shared" si="2"/>
        <v>16</v>
      </c>
      <c r="AN106">
        <f t="shared" si="3"/>
        <v>10</v>
      </c>
      <c r="AO106" t="s">
        <v>1343</v>
      </c>
      <c r="AP106" s="262">
        <f t="shared" si="4"/>
        <v>115</v>
      </c>
      <c r="AQ106">
        <f t="shared" si="5"/>
        <v>44</v>
      </c>
      <c r="AR106" s="7" t="s">
        <v>1345</v>
      </c>
      <c r="AS106" s="7"/>
      <c r="AT106" s="7"/>
      <c r="AU106" s="7"/>
      <c r="AV106" s="302"/>
      <c r="AW106" s="302"/>
      <c r="AX106" s="7"/>
      <c r="AY106" s="7" t="s">
        <v>1400</v>
      </c>
      <c r="AZ106" s="53" t="s">
        <v>1381</v>
      </c>
      <c r="BA106" s="66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</row>
    <row r="107" spans="1:106" s="359" customFormat="1">
      <c r="A107" s="351" t="s">
        <v>1436</v>
      </c>
      <c r="B107" s="306" t="str">
        <f>[2]AMS_raw!A48</f>
        <v>BB48_3</v>
      </c>
      <c r="C107" s="307"/>
      <c r="D107" s="308"/>
      <c r="E107" s="306"/>
      <c r="F107" s="306"/>
      <c r="G107" s="306"/>
      <c r="H107" s="264">
        <v>27</v>
      </c>
      <c r="I107" s="264">
        <v>91</v>
      </c>
      <c r="J107" s="352"/>
      <c r="K107" s="360">
        <f>[2]AMS_raw!G48</f>
        <v>222.6</v>
      </c>
      <c r="L107" s="352">
        <f>[2]AMS_raw!H48</f>
        <v>0.155</v>
      </c>
      <c r="M107" s="264">
        <f>[2]AMS_raw!M48</f>
        <v>1.0315000000000001</v>
      </c>
      <c r="N107" s="264">
        <f>[2]AMS_raw!N48</f>
        <v>1.016</v>
      </c>
      <c r="O107" s="264">
        <f>[2]AMS_raw!O48</f>
        <v>0.95250000000000001</v>
      </c>
      <c r="P107" s="271"/>
      <c r="Q107" s="272"/>
      <c r="R107" s="272"/>
      <c r="S107" s="354">
        <f>[2]AMS_raw!S48</f>
        <v>0.218</v>
      </c>
      <c r="T107" s="354">
        <f>[2]AMS_raw!T48</f>
        <v>1.0509999999999999</v>
      </c>
      <c r="U107" s="354">
        <f>[2]AMS_raw!U48</f>
        <v>0.62</v>
      </c>
      <c r="V107" s="272">
        <f t="shared" si="1"/>
        <v>7.6587493940862883</v>
      </c>
      <c r="W107" s="264">
        <f>[2]AMS_raw!V48</f>
        <v>0.60699999999999998</v>
      </c>
      <c r="X107" s="264">
        <f>[2]AMS_raw!AM48</f>
        <v>3</v>
      </c>
      <c r="Y107" s="264">
        <f>[2]AMS_raw!AN48</f>
        <v>4</v>
      </c>
      <c r="Z107" s="276"/>
      <c r="AA107" s="276"/>
      <c r="AB107" s="276"/>
      <c r="AC107" s="264">
        <f>[2]AMS_raw!AQ48</f>
        <v>269</v>
      </c>
      <c r="AD107" s="264">
        <f>[2]AMS_raw!AR48</f>
        <v>49</v>
      </c>
      <c r="AE107" s="277"/>
      <c r="AF107" s="264">
        <f>[2]AMS_raw!AD48</f>
        <v>23</v>
      </c>
      <c r="AG107" s="264">
        <f>[2]AMS_raw!AE48</f>
        <v>3</v>
      </c>
      <c r="AH107" s="247">
        <f>[2]AMS_raw!AG48</f>
        <v>290</v>
      </c>
      <c r="AI107" s="247">
        <f>[2]AMS_raw!AH48</f>
        <v>48</v>
      </c>
      <c r="AJ107" s="264">
        <f>[2]AMS_raw!AJ48</f>
        <v>116</v>
      </c>
      <c r="AK107" s="264">
        <f>[2]AMS_raw!AK48</f>
        <v>42</v>
      </c>
      <c r="AL107" s="314"/>
      <c r="AM107" s="355">
        <f t="shared" si="2"/>
        <v>23</v>
      </c>
      <c r="AN107" s="356">
        <f t="shared" si="3"/>
        <v>3</v>
      </c>
      <c r="AO107" s="356" t="s">
        <v>1343</v>
      </c>
      <c r="AP107" s="355">
        <f t="shared" si="4"/>
        <v>116</v>
      </c>
      <c r="AQ107" s="356">
        <f t="shared" si="5"/>
        <v>42</v>
      </c>
      <c r="AR107" s="357" t="s">
        <v>1345</v>
      </c>
      <c r="AS107" s="357"/>
      <c r="AT107" s="357"/>
      <c r="AU107" s="357"/>
      <c r="AV107" s="317"/>
      <c r="AW107" s="317"/>
      <c r="AX107" s="357"/>
      <c r="AY107" s="357" t="s">
        <v>1400</v>
      </c>
      <c r="AZ107" s="53" t="s">
        <v>1381</v>
      </c>
      <c r="BA107" s="358"/>
      <c r="BB107" s="357"/>
      <c r="BC107" s="357"/>
      <c r="BD107" s="357"/>
      <c r="BE107" s="357"/>
      <c r="BF107" s="357"/>
      <c r="BG107" s="357"/>
      <c r="BH107" s="357"/>
      <c r="BI107" s="357"/>
      <c r="BJ107" s="357"/>
      <c r="BK107" s="357"/>
      <c r="BL107" s="357"/>
      <c r="BM107" s="357"/>
      <c r="BN107" s="357"/>
      <c r="BO107" s="357"/>
      <c r="BP107" s="357"/>
      <c r="BQ107" s="357"/>
      <c r="BR107" s="357"/>
      <c r="BS107" s="357"/>
      <c r="BT107" s="357"/>
      <c r="BU107" s="357"/>
      <c r="BV107" s="357"/>
      <c r="BW107" s="357"/>
      <c r="BX107" s="357"/>
      <c r="BY107" s="357"/>
      <c r="BZ107" s="357"/>
      <c r="CA107" s="357"/>
      <c r="CB107" s="357"/>
      <c r="CC107" s="357"/>
      <c r="CD107" s="357"/>
      <c r="CE107" s="357"/>
      <c r="CF107" s="357"/>
      <c r="CG107" s="357"/>
      <c r="CH107" s="357"/>
      <c r="CI107" s="357"/>
      <c r="CJ107" s="357"/>
      <c r="CK107" s="357"/>
      <c r="CL107" s="357"/>
      <c r="CM107" s="357"/>
      <c r="CN107" s="357"/>
      <c r="CO107" s="357"/>
      <c r="CP107" s="357"/>
      <c r="CQ107" s="357"/>
      <c r="CR107" s="357"/>
      <c r="CS107" s="357"/>
      <c r="CT107" s="357"/>
      <c r="CU107" s="357"/>
      <c r="CV107" s="357"/>
      <c r="CW107" s="357"/>
      <c r="CX107" s="357"/>
      <c r="CY107" s="357"/>
      <c r="CZ107" s="357"/>
      <c r="DA107" s="357"/>
      <c r="DB107" s="357"/>
    </row>
    <row r="108" spans="1:106" s="283" customFormat="1">
      <c r="A108" s="319" t="s">
        <v>1436</v>
      </c>
      <c r="B108" s="290" t="str">
        <f>[2]AMS_raw!A49</f>
        <v>BB49_1</v>
      </c>
      <c r="C108" s="318"/>
      <c r="D108" s="289"/>
      <c r="E108" s="290"/>
      <c r="F108" s="290"/>
      <c r="G108" s="290"/>
      <c r="H108" s="247">
        <v>202</v>
      </c>
      <c r="I108" s="247">
        <v>99</v>
      </c>
      <c r="J108" s="250"/>
      <c r="K108" s="284">
        <f>[2]AMS_raw!G49</f>
        <v>232.3</v>
      </c>
      <c r="L108" s="250">
        <f>[2]AMS_raw!H49</f>
        <v>9.1999999999999998E-2</v>
      </c>
      <c r="M108" s="247">
        <f>[2]AMS_raw!M49</f>
        <v>1.0263</v>
      </c>
      <c r="N108" s="247">
        <f>[2]AMS_raw!N49</f>
        <v>1.002</v>
      </c>
      <c r="O108" s="247">
        <f>[2]AMS_raw!O49</f>
        <v>0.97170000000000001</v>
      </c>
      <c r="P108" s="255"/>
      <c r="Q108" s="256"/>
      <c r="R108" s="256"/>
      <c r="S108" s="280">
        <f>[2]AMS_raw!S49</f>
        <v>0.57199999999999995</v>
      </c>
      <c r="T108" s="280">
        <f>[2]AMS_raw!T49</f>
        <v>1.0069999999999999</v>
      </c>
      <c r="U108" s="280">
        <f>[2]AMS_raw!U49</f>
        <v>0.124</v>
      </c>
      <c r="V108" s="256">
        <f t="shared" si="1"/>
        <v>5.3200818474130358</v>
      </c>
      <c r="W108" s="247">
        <f>[2]AMS_raw!V49</f>
        <v>0.111</v>
      </c>
      <c r="X108" s="247">
        <f>[2]AMS_raw!AM49</f>
        <v>196</v>
      </c>
      <c r="Y108" s="247">
        <f>[2]AMS_raw!AN49</f>
        <v>5</v>
      </c>
      <c r="Z108" s="282"/>
      <c r="AA108" s="282"/>
      <c r="AB108" s="282"/>
      <c r="AC108" s="247">
        <f>[2]AMS_raw!AQ49</f>
        <v>102</v>
      </c>
      <c r="AD108" s="247">
        <f>[2]AMS_raw!AR49</f>
        <v>40</v>
      </c>
      <c r="AE108" s="261"/>
      <c r="AF108" s="247">
        <f>[2]AMS_raw!AD49</f>
        <v>205</v>
      </c>
      <c r="AG108" s="247">
        <f>[2]AMS_raw!AE49</f>
        <v>17</v>
      </c>
      <c r="AH108" s="247">
        <f>[2]AMS_raw!AG49</f>
        <v>312</v>
      </c>
      <c r="AI108" s="247">
        <f>[2]AMS_raw!AH49</f>
        <v>45</v>
      </c>
      <c r="AJ108" s="247">
        <f>[2]AMS_raw!AJ49</f>
        <v>100</v>
      </c>
      <c r="AK108" s="247">
        <f>[2]AMS_raw!AK49</f>
        <v>40</v>
      </c>
      <c r="AL108" s="298"/>
      <c r="AM108" s="262">
        <f t="shared" si="2"/>
        <v>205</v>
      </c>
      <c r="AN108">
        <f t="shared" si="3"/>
        <v>17</v>
      </c>
      <c r="AO108" s="283" t="s">
        <v>1368</v>
      </c>
      <c r="AP108" s="262">
        <f t="shared" si="4"/>
        <v>100</v>
      </c>
      <c r="AQ108">
        <f t="shared" si="5"/>
        <v>40</v>
      </c>
      <c r="AR108" s="7" t="s">
        <v>1369</v>
      </c>
      <c r="AS108" s="7"/>
      <c r="AT108" s="7"/>
      <c r="AU108" s="7"/>
      <c r="AV108" s="302"/>
      <c r="AW108" s="302"/>
      <c r="AX108" s="7"/>
      <c r="AY108" s="7" t="s">
        <v>1377</v>
      </c>
      <c r="AZ108" s="53" t="s">
        <v>1382</v>
      </c>
      <c r="BA108" s="5">
        <f>AVERAGE(AP108:AP109)+90</f>
        <v>191</v>
      </c>
      <c r="BB108" s="5">
        <f>90-AVERAGE(AQ108:AQ109)</f>
        <v>50.5</v>
      </c>
      <c r="BC108" s="7">
        <v>299.39999999999998</v>
      </c>
      <c r="BD108" s="7" t="s">
        <v>1485</v>
      </c>
      <c r="BE108" s="7" t="s">
        <v>1501</v>
      </c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</row>
    <row r="109" spans="1:106" s="283" customFormat="1">
      <c r="A109" s="319" t="s">
        <v>1436</v>
      </c>
      <c r="B109" s="290" t="str">
        <f>[2]AMS_raw!A50</f>
        <v>BB49_2</v>
      </c>
      <c r="C109" s="318"/>
      <c r="D109" s="289"/>
      <c r="E109" s="290"/>
      <c r="F109" s="290"/>
      <c r="G109" s="290"/>
      <c r="H109" s="247">
        <v>202</v>
      </c>
      <c r="I109" s="247">
        <v>99</v>
      </c>
      <c r="J109" s="250"/>
      <c r="K109" s="284">
        <f>[2]AMS_raw!G50</f>
        <v>198.1</v>
      </c>
      <c r="L109" s="250">
        <f>[2]AMS_raw!H50</f>
        <v>0.13500000000000001</v>
      </c>
      <c r="M109" s="247">
        <f>[2]AMS_raw!M50</f>
        <v>1.0268999999999999</v>
      </c>
      <c r="N109" s="247">
        <f>[2]AMS_raw!N50</f>
        <v>1.0015000000000001</v>
      </c>
      <c r="O109" s="247">
        <f>[2]AMS_raw!O50</f>
        <v>0.97160000000000002</v>
      </c>
      <c r="P109" s="255"/>
      <c r="Q109" s="256"/>
      <c r="R109" s="256"/>
      <c r="S109" s="280">
        <f>[2]AMS_raw!S50</f>
        <v>0.59699999999999998</v>
      </c>
      <c r="T109" s="280">
        <f>[2]AMS_raw!T50</f>
        <v>1.0049999999999999</v>
      </c>
      <c r="U109" s="280">
        <f>[2]AMS_raw!U50</f>
        <v>9.4E-2</v>
      </c>
      <c r="V109" s="256">
        <f t="shared" si="1"/>
        <v>5.3851397409679533</v>
      </c>
      <c r="W109" s="247">
        <f>[2]AMS_raw!V50</f>
        <v>0.08</v>
      </c>
      <c r="X109" s="247">
        <f>[2]AMS_raw!AM50</f>
        <v>194</v>
      </c>
      <c r="Y109" s="247">
        <f>[2]AMS_raw!AN50</f>
        <v>3</v>
      </c>
      <c r="Z109" s="282"/>
      <c r="AA109" s="282"/>
      <c r="AB109" s="282"/>
      <c r="AC109" s="247">
        <f>[2]AMS_raw!AQ50</f>
        <v>101</v>
      </c>
      <c r="AD109" s="247">
        <f>[2]AMS_raw!AR50</f>
        <v>41</v>
      </c>
      <c r="AE109" s="261"/>
      <c r="AF109" s="247">
        <f>[2]AMS_raw!AD50</f>
        <v>204</v>
      </c>
      <c r="AG109" s="247">
        <f>[2]AMS_raw!AE50</f>
        <v>14</v>
      </c>
      <c r="AH109" s="247">
        <f>[2]AMS_raw!AG50</f>
        <v>310</v>
      </c>
      <c r="AI109" s="247">
        <f>[2]AMS_raw!AH50</f>
        <v>47</v>
      </c>
      <c r="AJ109" s="247">
        <f>[2]AMS_raw!AJ50</f>
        <v>102</v>
      </c>
      <c r="AK109" s="247">
        <f>[2]AMS_raw!AK50</f>
        <v>39</v>
      </c>
      <c r="AL109" s="298"/>
      <c r="AM109" s="262">
        <f t="shared" si="2"/>
        <v>204</v>
      </c>
      <c r="AN109">
        <f t="shared" si="3"/>
        <v>14</v>
      </c>
      <c r="AO109" s="283" t="s">
        <v>1368</v>
      </c>
      <c r="AP109" s="262">
        <f t="shared" si="4"/>
        <v>102</v>
      </c>
      <c r="AQ109">
        <f t="shared" si="5"/>
        <v>39</v>
      </c>
      <c r="AR109" s="7" t="s">
        <v>1369</v>
      </c>
      <c r="AS109" s="7"/>
      <c r="AT109" s="7"/>
      <c r="AU109" s="7"/>
      <c r="AV109" s="302"/>
      <c r="AW109" s="302"/>
      <c r="AX109" s="7"/>
      <c r="AY109" s="7" t="s">
        <v>1377</v>
      </c>
      <c r="AZ109" s="53" t="s">
        <v>1382</v>
      </c>
      <c r="BA109" s="66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</row>
    <row r="110" spans="1:106" s="359" customFormat="1">
      <c r="A110" s="351" t="s">
        <v>1436</v>
      </c>
      <c r="B110" s="306" t="str">
        <f>[2]AMS_raw!A51</f>
        <v>BB49_3</v>
      </c>
      <c r="C110" s="307"/>
      <c r="D110" s="308"/>
      <c r="E110" s="306"/>
      <c r="F110" s="306"/>
      <c r="G110" s="306"/>
      <c r="H110" s="264">
        <v>292</v>
      </c>
      <c r="I110" s="264">
        <v>99</v>
      </c>
      <c r="J110" s="352"/>
      <c r="K110" s="360">
        <f>[2]AMS_raw!G51</f>
        <v>216.2</v>
      </c>
      <c r="L110" s="352">
        <f>[2]AMS_raw!H51</f>
        <v>0.20799999999999999</v>
      </c>
      <c r="M110" s="264">
        <f>[2]AMS_raw!M51</f>
        <v>1.0304</v>
      </c>
      <c r="N110" s="264">
        <f>[2]AMS_raw!N51</f>
        <v>1.0004</v>
      </c>
      <c r="O110" s="264">
        <f>[2]AMS_raw!O51</f>
        <v>0.96909999999999996</v>
      </c>
      <c r="P110" s="271"/>
      <c r="Q110" s="272"/>
      <c r="R110" s="272"/>
      <c r="S110" s="354">
        <f>[2]AMS_raw!S51</f>
        <v>0.64800000000000002</v>
      </c>
      <c r="T110" s="354">
        <f>[2]AMS_raw!T51</f>
        <v>1.002</v>
      </c>
      <c r="U110" s="354">
        <f>[2]AMS_raw!U51</f>
        <v>3.6999999999999998E-2</v>
      </c>
      <c r="V110" s="272">
        <f t="shared" si="1"/>
        <v>5.9491459627329215</v>
      </c>
      <c r="W110" s="264">
        <f>[2]AMS_raw!V51</f>
        <v>2.1000000000000001E-2</v>
      </c>
      <c r="X110" s="264">
        <f>[2]AMS_raw!AM51</f>
        <v>201</v>
      </c>
      <c r="Y110" s="264">
        <f>[2]AMS_raw!AN51</f>
        <v>9</v>
      </c>
      <c r="Z110" s="276"/>
      <c r="AA110" s="276"/>
      <c r="AB110" s="276"/>
      <c r="AC110" s="264">
        <f>[2]AMS_raw!AQ51</f>
        <v>103</v>
      </c>
      <c r="AD110" s="264">
        <f>[2]AMS_raw!AR51</f>
        <v>40</v>
      </c>
      <c r="AE110" s="277"/>
      <c r="AF110" s="264">
        <f>[2]AMS_raw!AD51</f>
        <v>299</v>
      </c>
      <c r="AG110" s="264">
        <f>[2]AMS_raw!AE51</f>
        <v>22</v>
      </c>
      <c r="AH110" s="247">
        <f>[2]AMS_raw!AG51</f>
        <v>50</v>
      </c>
      <c r="AI110" s="247">
        <f>[2]AMS_raw!AH51</f>
        <v>43</v>
      </c>
      <c r="AJ110" s="264">
        <f>[2]AMS_raw!AJ51</f>
        <v>189</v>
      </c>
      <c r="AK110" s="264">
        <f>[2]AMS_raw!AK51</f>
        <v>39</v>
      </c>
      <c r="AL110" s="314"/>
      <c r="AM110" s="355">
        <f t="shared" si="2"/>
        <v>299</v>
      </c>
      <c r="AN110" s="356">
        <f t="shared" si="3"/>
        <v>22</v>
      </c>
      <c r="AO110" s="359" t="s">
        <v>1368</v>
      </c>
      <c r="AP110" s="355">
        <f t="shared" si="4"/>
        <v>189</v>
      </c>
      <c r="AQ110" s="356">
        <f t="shared" si="5"/>
        <v>39</v>
      </c>
      <c r="AR110" s="357" t="s">
        <v>1369</v>
      </c>
      <c r="AS110" s="357"/>
      <c r="AT110" s="357"/>
      <c r="AU110" s="357"/>
      <c r="AV110" s="317"/>
      <c r="AW110" s="317"/>
      <c r="AX110" s="357"/>
      <c r="AY110" s="357" t="s">
        <v>1377</v>
      </c>
      <c r="AZ110" s="357" t="s">
        <v>1418</v>
      </c>
      <c r="BA110" s="358"/>
      <c r="BB110" s="357"/>
      <c r="BC110" s="357"/>
      <c r="BD110" s="357"/>
      <c r="BE110" s="357"/>
      <c r="BF110" s="357"/>
      <c r="BG110" s="357"/>
      <c r="BH110" s="357"/>
      <c r="BI110" s="357"/>
      <c r="BJ110" s="357"/>
      <c r="BK110" s="357"/>
      <c r="BL110" s="357"/>
      <c r="BM110" s="357"/>
      <c r="BN110" s="357"/>
      <c r="BO110" s="357"/>
      <c r="BP110" s="357"/>
      <c r="BQ110" s="357"/>
      <c r="BR110" s="357"/>
      <c r="BS110" s="357"/>
      <c r="BT110" s="357"/>
      <c r="BU110" s="357"/>
      <c r="BV110" s="357"/>
      <c r="BW110" s="357"/>
      <c r="BX110" s="357"/>
      <c r="BY110" s="357"/>
      <c r="BZ110" s="357"/>
      <c r="CA110" s="357"/>
      <c r="CB110" s="357"/>
      <c r="CC110" s="357"/>
      <c r="CD110" s="357"/>
      <c r="CE110" s="357"/>
      <c r="CF110" s="357"/>
      <c r="CG110" s="357"/>
      <c r="CH110" s="357"/>
      <c r="CI110" s="357"/>
      <c r="CJ110" s="357"/>
      <c r="CK110" s="357"/>
      <c r="CL110" s="357"/>
      <c r="CM110" s="357"/>
      <c r="CN110" s="357"/>
      <c r="CO110" s="357"/>
      <c r="CP110" s="357"/>
      <c r="CQ110" s="357"/>
      <c r="CR110" s="357"/>
      <c r="CS110" s="357"/>
      <c r="CT110" s="357"/>
      <c r="CU110" s="357"/>
      <c r="CV110" s="357"/>
      <c r="CW110" s="357"/>
      <c r="CX110" s="357"/>
      <c r="CY110" s="357"/>
      <c r="CZ110" s="357"/>
      <c r="DA110" s="357"/>
      <c r="DB110" s="357"/>
    </row>
    <row r="111" spans="1:106" s="283" customFormat="1">
      <c r="A111" s="278" t="s">
        <v>1367</v>
      </c>
      <c r="B111" s="290" t="str">
        <f>[2]AMS_raw!A52</f>
        <v>BB50_1</v>
      </c>
      <c r="C111" s="318"/>
      <c r="D111" s="289"/>
      <c r="E111" s="290"/>
      <c r="F111" s="290"/>
      <c r="G111" s="290"/>
      <c r="H111" s="247">
        <v>267</v>
      </c>
      <c r="I111" s="247">
        <v>49</v>
      </c>
      <c r="J111" s="250"/>
      <c r="K111" s="284">
        <f>[2]AMS_raw!G52</f>
        <v>193.1</v>
      </c>
      <c r="L111" s="250">
        <f>[2]AMS_raw!H52</f>
        <v>0.11799999999999999</v>
      </c>
      <c r="M111" s="247">
        <f>[2]AMS_raw!M52</f>
        <v>1.0438000000000001</v>
      </c>
      <c r="N111" s="247">
        <f>[2]AMS_raw!N52</f>
        <v>0.99339999999999995</v>
      </c>
      <c r="O111" s="247">
        <f>[2]AMS_raw!O52</f>
        <v>0.96279999999999999</v>
      </c>
      <c r="P111" s="255"/>
      <c r="Q111" s="256"/>
      <c r="R111" s="256"/>
      <c r="S111" s="280">
        <f>[2]AMS_raw!S52</f>
        <v>0.90300000000000002</v>
      </c>
      <c r="T111" s="280">
        <f>[2]AMS_raw!T52</f>
        <v>0.98199999999999998</v>
      </c>
      <c r="U111" s="281">
        <f>[2]AMS_raw!U52</f>
        <v>-0.22500000000000001</v>
      </c>
      <c r="V111" s="256">
        <f t="shared" si="1"/>
        <v>7.7601073002490955</v>
      </c>
      <c r="W111" s="247">
        <f>[2]AMS_raw!V52</f>
        <v>-0.24399999999999999</v>
      </c>
      <c r="X111" s="247">
        <f>[2]AMS_raw!AM52</f>
        <v>4</v>
      </c>
      <c r="Y111" s="247">
        <f>[2]AMS_raw!AN52</f>
        <v>4</v>
      </c>
      <c r="Z111" s="282"/>
      <c r="AA111" s="282"/>
      <c r="AB111" s="282"/>
      <c r="AC111" s="247">
        <f>[2]AMS_raw!AQ52</f>
        <v>101</v>
      </c>
      <c r="AD111" s="247">
        <f>[2]AMS_raw!AR52</f>
        <v>59</v>
      </c>
      <c r="AE111" s="261"/>
      <c r="AF111" s="247">
        <f>[2]AMS_raw!AD52</f>
        <v>267</v>
      </c>
      <c r="AG111" s="247">
        <f>[2]AMS_raw!AE52</f>
        <v>6</v>
      </c>
      <c r="AH111" s="247">
        <f>[2]AMS_raw!AG52</f>
        <v>359</v>
      </c>
      <c r="AI111" s="247">
        <f>[2]AMS_raw!AH52</f>
        <v>19</v>
      </c>
      <c r="AJ111" s="247">
        <f>[2]AMS_raw!AJ52</f>
        <v>161</v>
      </c>
      <c r="AK111" s="247">
        <f>[2]AMS_raw!AK52</f>
        <v>70</v>
      </c>
      <c r="AL111" s="298"/>
      <c r="AM111" s="262">
        <f t="shared" si="2"/>
        <v>267</v>
      </c>
      <c r="AN111">
        <f t="shared" si="3"/>
        <v>6</v>
      </c>
      <c r="AO111" t="s">
        <v>1343</v>
      </c>
      <c r="AP111" s="262">
        <f t="shared" si="4"/>
        <v>161</v>
      </c>
      <c r="AQ111">
        <f t="shared" si="5"/>
        <v>70</v>
      </c>
      <c r="AR111" s="7" t="s">
        <v>1345</v>
      </c>
      <c r="AS111" s="7"/>
      <c r="AT111" s="7"/>
      <c r="AU111" s="7"/>
      <c r="AV111" s="302"/>
      <c r="AW111" s="302"/>
      <c r="AX111" s="7"/>
      <c r="AY111" s="7" t="s">
        <v>103</v>
      </c>
      <c r="AZ111" s="53" t="s">
        <v>1362</v>
      </c>
      <c r="BA111" s="129">
        <f>AVERAGE(AP111:AP113)+90</f>
        <v>269.33333333333337</v>
      </c>
      <c r="BB111" s="129">
        <f>90-AVERAGE(AQ111:AQ113)</f>
        <v>18.333333333333329</v>
      </c>
      <c r="BC111" s="7">
        <v>297.39999999999998</v>
      </c>
      <c r="BD111" s="7" t="s">
        <v>1485</v>
      </c>
      <c r="BE111" s="7" t="s">
        <v>258</v>
      </c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</row>
    <row r="112" spans="1:106" s="283" customFormat="1">
      <c r="A112" s="278" t="s">
        <v>1367</v>
      </c>
      <c r="B112" s="290" t="str">
        <f>[2]AMS_raw!A53</f>
        <v>BB50_2</v>
      </c>
      <c r="C112" s="318"/>
      <c r="D112" s="289"/>
      <c r="E112" s="290"/>
      <c r="F112" s="290"/>
      <c r="G112" s="290"/>
      <c r="H112" s="247">
        <v>267</v>
      </c>
      <c r="I112" s="247">
        <v>49</v>
      </c>
      <c r="J112" s="250"/>
      <c r="K112" s="284">
        <f>[2]AMS_raw!G53</f>
        <v>162.5</v>
      </c>
      <c r="L112" s="250">
        <f>[2]AMS_raw!H53</f>
        <v>0.17100000000000001</v>
      </c>
      <c r="M112" s="247">
        <f>[2]AMS_raw!M53</f>
        <v>1.0389999999999999</v>
      </c>
      <c r="N112" s="247">
        <f>[2]AMS_raw!N53</f>
        <v>0.99439999999999995</v>
      </c>
      <c r="O112" s="247">
        <f>[2]AMS_raw!O53</f>
        <v>0.96660000000000001</v>
      </c>
      <c r="P112" s="255"/>
      <c r="Q112" s="256"/>
      <c r="R112" s="256"/>
      <c r="S112" s="280">
        <f>[2]AMS_raw!S53</f>
        <v>0.89</v>
      </c>
      <c r="T112" s="280">
        <f>[2]AMS_raw!T53</f>
        <v>0.98499999999999999</v>
      </c>
      <c r="U112" s="281">
        <f>[2]AMS_raw!U53</f>
        <v>-0.215</v>
      </c>
      <c r="V112" s="256">
        <f t="shared" si="1"/>
        <v>6.9682386910490779</v>
      </c>
      <c r="W112" s="247">
        <f>[2]AMS_raw!V53</f>
        <v>-0.23200000000000001</v>
      </c>
      <c r="X112" s="247">
        <f>[2]AMS_raw!AM53</f>
        <v>186</v>
      </c>
      <c r="Y112" s="247">
        <f>[2]AMS_raw!AN53</f>
        <v>7</v>
      </c>
      <c r="Z112" s="282"/>
      <c r="AA112" s="282"/>
      <c r="AB112" s="282"/>
      <c r="AC112" s="247">
        <f>[2]AMS_raw!AQ53</f>
        <v>84</v>
      </c>
      <c r="AD112" s="247">
        <f>[2]AMS_raw!AR53</f>
        <v>60</v>
      </c>
      <c r="AE112" s="261"/>
      <c r="AF112" s="247">
        <f>[2]AMS_raw!AD53</f>
        <v>277</v>
      </c>
      <c r="AG112" s="247">
        <f>[2]AMS_raw!AE53</f>
        <v>0</v>
      </c>
      <c r="AH112" s="247">
        <f>[2]AMS_raw!AG53</f>
        <v>7</v>
      </c>
      <c r="AI112" s="247">
        <f>[2]AMS_raw!AH53</f>
        <v>20</v>
      </c>
      <c r="AJ112" s="247">
        <f>[2]AMS_raw!AJ53</f>
        <v>187</v>
      </c>
      <c r="AK112" s="247">
        <f>[2]AMS_raw!AK53</f>
        <v>70</v>
      </c>
      <c r="AL112" s="298"/>
      <c r="AM112" s="262">
        <f t="shared" si="2"/>
        <v>277</v>
      </c>
      <c r="AN112">
        <f t="shared" si="3"/>
        <v>0</v>
      </c>
      <c r="AO112" t="s">
        <v>1343</v>
      </c>
      <c r="AP112" s="262">
        <f t="shared" si="4"/>
        <v>187</v>
      </c>
      <c r="AQ112">
        <f t="shared" si="5"/>
        <v>70</v>
      </c>
      <c r="AR112" s="7" t="s">
        <v>1345</v>
      </c>
      <c r="AS112" s="7"/>
      <c r="AT112" s="7"/>
      <c r="AU112" s="7"/>
      <c r="AV112" s="302"/>
      <c r="AW112" s="302"/>
      <c r="AX112" s="7"/>
      <c r="AY112" s="7" t="s">
        <v>103</v>
      </c>
      <c r="AZ112" s="53" t="s">
        <v>1362</v>
      </c>
      <c r="BA112" s="66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</row>
    <row r="113" spans="1:106" s="283" customFormat="1">
      <c r="A113" s="278" t="s">
        <v>1367</v>
      </c>
      <c r="B113" s="290" t="str">
        <f>[2]AMS_raw!A54</f>
        <v>BB50_3</v>
      </c>
      <c r="C113" s="318"/>
      <c r="D113" s="289"/>
      <c r="E113" s="290"/>
      <c r="F113" s="290"/>
      <c r="G113" s="290"/>
      <c r="H113" s="247">
        <v>267</v>
      </c>
      <c r="I113" s="247">
        <v>49</v>
      </c>
      <c r="J113" s="250"/>
      <c r="K113" s="284">
        <f>[2]AMS_raw!G54</f>
        <v>188.9</v>
      </c>
      <c r="L113" s="250">
        <f>[2]AMS_raw!H54</f>
        <v>0.25</v>
      </c>
      <c r="M113" s="247">
        <f>[2]AMS_raw!M54</f>
        <v>1.0348999999999999</v>
      </c>
      <c r="N113" s="247">
        <f>[2]AMS_raw!N54</f>
        <v>1.0008999999999999</v>
      </c>
      <c r="O113" s="247">
        <f>[2]AMS_raw!O54</f>
        <v>0.96419999999999995</v>
      </c>
      <c r="P113" s="255"/>
      <c r="Q113" s="256"/>
      <c r="R113" s="256"/>
      <c r="S113" s="280">
        <f>[2]AMS_raw!S54</f>
        <v>0.63200000000000001</v>
      </c>
      <c r="T113" s="280">
        <f>[2]AMS_raw!T54</f>
        <v>1.004</v>
      </c>
      <c r="U113" s="280">
        <f>[2]AMS_raw!U54</f>
        <v>5.7000000000000002E-2</v>
      </c>
      <c r="V113" s="256">
        <f t="shared" si="1"/>
        <v>6.8315779302348041</v>
      </c>
      <c r="W113" s="247">
        <f>[2]AMS_raw!V54</f>
        <v>3.9E-2</v>
      </c>
      <c r="X113" s="247">
        <f>[2]AMS_raw!AM54</f>
        <v>187</v>
      </c>
      <c r="Y113" s="247">
        <f>[2]AMS_raw!AN54</f>
        <v>9</v>
      </c>
      <c r="Z113" s="282"/>
      <c r="AA113" s="282"/>
      <c r="AB113" s="282"/>
      <c r="AC113" s="247">
        <f>[2]AMS_raw!AQ54</f>
        <v>84</v>
      </c>
      <c r="AD113" s="247">
        <f>[2]AMS_raw!AR54</f>
        <v>55</v>
      </c>
      <c r="AE113" s="261"/>
      <c r="AF113" s="247">
        <f>[2]AMS_raw!AD54</f>
        <v>99</v>
      </c>
      <c r="AG113" s="247">
        <f>[2]AMS_raw!AE54</f>
        <v>0</v>
      </c>
      <c r="AH113" s="247">
        <f>[2]AMS_raw!AG54</f>
        <v>8</v>
      </c>
      <c r="AI113" s="247">
        <f>[2]AMS_raw!AH54</f>
        <v>15</v>
      </c>
      <c r="AJ113" s="247">
        <f>[2]AMS_raw!AJ54</f>
        <v>190</v>
      </c>
      <c r="AK113" s="247">
        <f>[2]AMS_raw!AK54</f>
        <v>75</v>
      </c>
      <c r="AL113" s="298"/>
      <c r="AM113" s="262">
        <f t="shared" si="2"/>
        <v>99</v>
      </c>
      <c r="AN113">
        <f t="shared" si="3"/>
        <v>0</v>
      </c>
      <c r="AO113" t="s">
        <v>1343</v>
      </c>
      <c r="AP113" s="262">
        <f t="shared" si="4"/>
        <v>190</v>
      </c>
      <c r="AQ113">
        <f t="shared" si="5"/>
        <v>75</v>
      </c>
      <c r="AR113" s="7" t="s">
        <v>1345</v>
      </c>
      <c r="AS113" s="7"/>
      <c r="AT113" s="7"/>
      <c r="AU113" s="7"/>
      <c r="AV113" s="302"/>
      <c r="AW113" s="302"/>
      <c r="AX113" s="7"/>
      <c r="AY113" s="7" t="s">
        <v>1377</v>
      </c>
      <c r="AZ113" s="53" t="s">
        <v>1362</v>
      </c>
      <c r="BA113" s="66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</row>
    <row r="114" spans="1:106" s="283" customFormat="1">
      <c r="A114" s="278" t="s">
        <v>1367</v>
      </c>
      <c r="B114" s="290" t="str">
        <f>[2]AMS_raw!A55</f>
        <v>BB51_2</v>
      </c>
      <c r="C114" s="318"/>
      <c r="D114" s="289"/>
      <c r="E114" s="290"/>
      <c r="F114" s="290"/>
      <c r="G114" s="290"/>
      <c r="H114" s="247">
        <v>213</v>
      </c>
      <c r="I114" s="247">
        <v>78</v>
      </c>
      <c r="J114" s="250"/>
      <c r="K114" s="284">
        <f>[2]AMS_raw!G55</f>
        <v>128</v>
      </c>
      <c r="L114" s="250">
        <f>[2]AMS_raw!H55</f>
        <v>0.23400000000000001</v>
      </c>
      <c r="M114" s="247">
        <f>[2]AMS_raw!M55</f>
        <v>1.0444</v>
      </c>
      <c r="N114" s="247">
        <f>[2]AMS_raw!N55</f>
        <v>0.997</v>
      </c>
      <c r="O114" s="247">
        <f>[2]AMS_raw!O55</f>
        <v>0.95860000000000001</v>
      </c>
      <c r="P114" s="255"/>
      <c r="Q114" s="256"/>
      <c r="R114" s="256"/>
      <c r="S114" s="280">
        <f>[2]AMS_raw!S55</f>
        <v>0.76400000000000001</v>
      </c>
      <c r="T114" s="280">
        <f>[2]AMS_raw!T55</f>
        <v>0.99299999999999999</v>
      </c>
      <c r="U114" s="281">
        <f>[2]AMS_raw!U55</f>
        <v>-8.5000000000000006E-2</v>
      </c>
      <c r="V114" s="256">
        <f t="shared" si="1"/>
        <v>8.2152432018383745</v>
      </c>
      <c r="W114" s="247">
        <f>[2]AMS_raw!V55</f>
        <v>-0.106</v>
      </c>
      <c r="X114" s="247">
        <f>[2]AMS_raw!AM55</f>
        <v>317</v>
      </c>
      <c r="Y114" s="247">
        <f>[2]AMS_raw!AN55</f>
        <v>16</v>
      </c>
      <c r="Z114" s="282"/>
      <c r="AA114" s="282"/>
      <c r="AB114" s="282"/>
      <c r="AC114" s="247">
        <f>[2]AMS_raw!AQ55</f>
        <v>94</v>
      </c>
      <c r="AD114" s="247">
        <f>[2]AMS_raw!AR55</f>
        <v>69</v>
      </c>
      <c r="AE114" s="261"/>
      <c r="AF114" s="247">
        <f>[2]AMS_raw!AD55</f>
        <v>3</v>
      </c>
      <c r="AG114" s="247">
        <f>[2]AMS_raw!AE55</f>
        <v>36</v>
      </c>
      <c r="AH114" s="247">
        <f>[2]AMS_raw!AG55</f>
        <v>240</v>
      </c>
      <c r="AI114" s="247">
        <f>[2]AMS_raw!AH55</f>
        <v>36</v>
      </c>
      <c r="AJ114" s="247">
        <f>[2]AMS_raw!AJ55</f>
        <v>122</v>
      </c>
      <c r="AK114" s="247">
        <f>[2]AMS_raw!AK55</f>
        <v>33</v>
      </c>
      <c r="AL114" s="298"/>
      <c r="AM114" s="262">
        <f t="shared" si="2"/>
        <v>3</v>
      </c>
      <c r="AN114">
        <f t="shared" si="3"/>
        <v>36</v>
      </c>
      <c r="AO114" s="283" t="s">
        <v>1368</v>
      </c>
      <c r="AP114" s="262">
        <f t="shared" si="4"/>
        <v>122</v>
      </c>
      <c r="AQ114">
        <f t="shared" si="5"/>
        <v>33</v>
      </c>
      <c r="AR114" s="7" t="s">
        <v>1369</v>
      </c>
      <c r="AS114" s="7"/>
      <c r="AT114" s="7"/>
      <c r="AU114" s="7"/>
      <c r="AV114" s="302"/>
      <c r="AW114" s="302"/>
      <c r="AX114" s="7"/>
      <c r="AY114" s="7" t="s">
        <v>1377</v>
      </c>
      <c r="AZ114" s="53" t="s">
        <v>1370</v>
      </c>
      <c r="BA114" s="5">
        <f>AVERAGE(AP114:AP116)+90</f>
        <v>213</v>
      </c>
      <c r="BB114" s="5">
        <f>90-AVERAGE(AQ114:AQ116)</f>
        <v>57.666666666666664</v>
      </c>
      <c r="BC114" s="7">
        <v>297.39999999999998</v>
      </c>
      <c r="BD114" s="7" t="s">
        <v>1485</v>
      </c>
      <c r="BE114" s="7" t="s">
        <v>258</v>
      </c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</row>
    <row r="115" spans="1:106" s="283" customFormat="1">
      <c r="A115" s="278" t="s">
        <v>1367</v>
      </c>
      <c r="B115" s="290" t="str">
        <f>[2]AMS_raw!A56</f>
        <v>BB51_3</v>
      </c>
      <c r="C115" s="318"/>
      <c r="D115" s="289"/>
      <c r="E115" s="290"/>
      <c r="F115" s="290"/>
      <c r="G115" s="290"/>
      <c r="H115" s="247">
        <v>213</v>
      </c>
      <c r="I115" s="247">
        <v>78</v>
      </c>
      <c r="J115" s="250"/>
      <c r="K115" s="284">
        <f>[2]AMS_raw!G56</f>
        <v>106</v>
      </c>
      <c r="L115" s="250">
        <f>[2]AMS_raw!H56</f>
        <v>0.14399999999999999</v>
      </c>
      <c r="M115" s="247">
        <f>[2]AMS_raw!M56</f>
        <v>1.0410999999999999</v>
      </c>
      <c r="N115" s="247">
        <f>[2]AMS_raw!N56</f>
        <v>1.0011000000000001</v>
      </c>
      <c r="O115" s="247">
        <f>[2]AMS_raw!O56</f>
        <v>0.95779999999999998</v>
      </c>
      <c r="P115" s="255"/>
      <c r="Q115" s="256"/>
      <c r="R115" s="256"/>
      <c r="S115" s="280">
        <f>[2]AMS_raw!S56</f>
        <v>0.63200000000000001</v>
      </c>
      <c r="T115" s="280">
        <f>[2]AMS_raw!T56</f>
        <v>1.0049999999999999</v>
      </c>
      <c r="U115" s="280">
        <f>[2]AMS_raw!U56</f>
        <v>0.06</v>
      </c>
      <c r="V115" s="256">
        <f t="shared" si="1"/>
        <v>8.0011526270290982</v>
      </c>
      <c r="W115" s="247">
        <f>[2]AMS_raw!V56</f>
        <v>0.04</v>
      </c>
      <c r="X115" s="247">
        <f>[2]AMS_raw!AM56</f>
        <v>315</v>
      </c>
      <c r="Y115" s="247">
        <f>[2]AMS_raw!AN56</f>
        <v>13</v>
      </c>
      <c r="Z115" s="282"/>
      <c r="AA115" s="282"/>
      <c r="AB115" s="282"/>
      <c r="AC115" s="247">
        <f>[2]AMS_raw!AQ56</f>
        <v>93</v>
      </c>
      <c r="AD115" s="247">
        <f>[2]AMS_raw!AR56</f>
        <v>73</v>
      </c>
      <c r="AE115" s="261"/>
      <c r="AF115" s="247">
        <f>[2]AMS_raw!AD56</f>
        <v>6</v>
      </c>
      <c r="AG115" s="247">
        <f>[2]AMS_raw!AE56</f>
        <v>39</v>
      </c>
      <c r="AH115" s="247">
        <f>[2]AMS_raw!AG56</f>
        <v>238</v>
      </c>
      <c r="AI115" s="247">
        <f>[2]AMS_raw!AH56</f>
        <v>37</v>
      </c>
      <c r="AJ115" s="247">
        <f>[2]AMS_raw!AJ56</f>
        <v>122</v>
      </c>
      <c r="AK115" s="247">
        <f>[2]AMS_raw!AK56</f>
        <v>29</v>
      </c>
      <c r="AL115" s="298"/>
      <c r="AM115" s="262">
        <f t="shared" si="2"/>
        <v>6</v>
      </c>
      <c r="AN115">
        <f t="shared" si="3"/>
        <v>39</v>
      </c>
      <c r="AO115" s="283" t="s">
        <v>1368</v>
      </c>
      <c r="AP115" s="262">
        <f t="shared" si="4"/>
        <v>122</v>
      </c>
      <c r="AQ115">
        <f t="shared" si="5"/>
        <v>29</v>
      </c>
      <c r="AR115" s="7" t="s">
        <v>1369</v>
      </c>
      <c r="AS115" s="7"/>
      <c r="AT115" s="7"/>
      <c r="AU115" s="7"/>
      <c r="AV115" s="302"/>
      <c r="AW115" s="302"/>
      <c r="AX115" s="7"/>
      <c r="AY115" s="7" t="s">
        <v>1377</v>
      </c>
      <c r="AZ115" s="53" t="s">
        <v>1370</v>
      </c>
      <c r="BA115" s="66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</row>
    <row r="116" spans="1:106" s="283" customFormat="1">
      <c r="A116" s="278" t="s">
        <v>1367</v>
      </c>
      <c r="B116" s="290" t="str">
        <f>[2]AMS_raw!A57</f>
        <v>BB51_4</v>
      </c>
      <c r="C116" s="318"/>
      <c r="D116" s="289"/>
      <c r="E116" s="290"/>
      <c r="F116" s="290"/>
      <c r="G116" s="290"/>
      <c r="H116" s="247">
        <v>213</v>
      </c>
      <c r="I116" s="247">
        <v>78</v>
      </c>
      <c r="J116" s="250"/>
      <c r="K116" s="284">
        <f>[2]AMS_raw!G57</f>
        <v>116.1</v>
      </c>
      <c r="L116" s="250">
        <f>[2]AMS_raw!H57</f>
        <v>0.16</v>
      </c>
      <c r="M116" s="247">
        <f>[2]AMS_raw!M57</f>
        <v>1.0477000000000001</v>
      </c>
      <c r="N116" s="247">
        <f>[2]AMS_raw!N57</f>
        <v>0.99939999999999996</v>
      </c>
      <c r="O116" s="247">
        <f>[2]AMS_raw!O57</f>
        <v>0.95289999999999997</v>
      </c>
      <c r="P116" s="255"/>
      <c r="Q116" s="256"/>
      <c r="R116" s="256"/>
      <c r="S116" s="280">
        <f>[2]AMS_raw!S57</f>
        <v>0.68300000000000005</v>
      </c>
      <c r="T116" s="280">
        <f>[2]AMS_raw!T57</f>
        <v>1.0009999999999999</v>
      </c>
      <c r="U116" s="280">
        <f>[2]AMS_raw!U57</f>
        <v>5.0000000000000001E-3</v>
      </c>
      <c r="V116" s="256">
        <f t="shared" si="1"/>
        <v>9.0483917151856552</v>
      </c>
      <c r="W116" s="247">
        <f>[2]AMS_raw!V57</f>
        <v>-1.7999999999999999E-2</v>
      </c>
      <c r="X116" s="247">
        <f>[2]AMS_raw!AM57</f>
        <v>315</v>
      </c>
      <c r="Y116" s="247">
        <f>[2]AMS_raw!AN57</f>
        <v>15</v>
      </c>
      <c r="Z116" s="282"/>
      <c r="AA116" s="282"/>
      <c r="AB116" s="282"/>
      <c r="AC116" s="247">
        <f>[2]AMS_raw!AQ57</f>
        <v>86</v>
      </c>
      <c r="AD116" s="247">
        <f>[2]AMS_raw!AR57</f>
        <v>67</v>
      </c>
      <c r="AE116" s="261"/>
      <c r="AF116" s="247">
        <f>[2]AMS_raw!AD57</f>
        <v>3</v>
      </c>
      <c r="AG116" s="247">
        <f>[2]AMS_raw!AE57</f>
        <v>37</v>
      </c>
      <c r="AH116" s="247">
        <f>[2]AMS_raw!AG57</f>
        <v>243</v>
      </c>
      <c r="AI116" s="247">
        <f>[2]AMS_raw!AH57</f>
        <v>34</v>
      </c>
      <c r="AJ116" s="247">
        <f>[2]AMS_raw!AJ57</f>
        <v>125</v>
      </c>
      <c r="AK116" s="247">
        <f>[2]AMS_raw!AK57</f>
        <v>35</v>
      </c>
      <c r="AL116" s="298"/>
      <c r="AM116" s="262">
        <f t="shared" si="2"/>
        <v>3</v>
      </c>
      <c r="AN116">
        <f t="shared" si="3"/>
        <v>37</v>
      </c>
      <c r="AO116" s="283" t="s">
        <v>1368</v>
      </c>
      <c r="AP116" s="262">
        <f t="shared" si="4"/>
        <v>125</v>
      </c>
      <c r="AQ116">
        <f t="shared" si="5"/>
        <v>35</v>
      </c>
      <c r="AR116" s="7" t="s">
        <v>1369</v>
      </c>
      <c r="AS116" s="7"/>
      <c r="AT116" s="7"/>
      <c r="AU116" s="7"/>
      <c r="AV116" s="302"/>
      <c r="AW116" s="302"/>
      <c r="AX116" s="7"/>
      <c r="AY116" s="7" t="s">
        <v>1377</v>
      </c>
      <c r="AZ116" s="53" t="s">
        <v>1370</v>
      </c>
      <c r="BA116" s="66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</row>
    <row r="117" spans="1:106" s="283" customFormat="1">
      <c r="A117" s="278" t="s">
        <v>1367</v>
      </c>
      <c r="B117" s="290" t="str">
        <f>[2]AMS_raw!A58</f>
        <v>BB52_1</v>
      </c>
      <c r="C117" s="318"/>
      <c r="D117" s="289"/>
      <c r="E117" s="290"/>
      <c r="F117" s="290"/>
      <c r="G117" s="290"/>
      <c r="H117" s="247">
        <v>72</v>
      </c>
      <c r="I117" s="247">
        <v>57</v>
      </c>
      <c r="J117" s="250"/>
      <c r="K117" s="284">
        <f>[2]AMS_raw!G58</f>
        <v>172.3</v>
      </c>
      <c r="L117" s="250">
        <f>[2]AMS_raw!H58</f>
        <v>0.29699999999999999</v>
      </c>
      <c r="M117" s="247">
        <f>[2]AMS_raw!M58</f>
        <v>1.0475000000000001</v>
      </c>
      <c r="N117" s="247">
        <f>[2]AMS_raw!N58</f>
        <v>1.0018</v>
      </c>
      <c r="O117" s="247">
        <f>[2]AMS_raw!O58</f>
        <v>0.95069999999999999</v>
      </c>
      <c r="P117" s="255"/>
      <c r="Q117" s="256"/>
      <c r="R117" s="256"/>
      <c r="S117" s="280">
        <f>[2]AMS_raw!S58</f>
        <v>0.61799999999999999</v>
      </c>
      <c r="T117" s="280">
        <f>[2]AMS_raw!T58</f>
        <v>1.008</v>
      </c>
      <c r="U117" s="280">
        <f>[2]AMS_raw!U58</f>
        <v>0.08</v>
      </c>
      <c r="V117" s="256">
        <f t="shared" si="1"/>
        <v>9.2410501193317511</v>
      </c>
      <c r="W117" s="247">
        <f>[2]AMS_raw!V58</f>
        <v>5.6000000000000001E-2</v>
      </c>
      <c r="X117" s="247">
        <f>[2]AMS_raw!AM58</f>
        <v>21</v>
      </c>
      <c r="Y117" s="247">
        <f>[2]AMS_raw!AN58</f>
        <v>45</v>
      </c>
      <c r="Z117" s="282"/>
      <c r="AA117" s="282"/>
      <c r="AB117" s="282"/>
      <c r="AC117" s="247">
        <f>[2]AMS_raw!AQ58</f>
        <v>282</v>
      </c>
      <c r="AD117" s="247">
        <f>[2]AMS_raw!AR58</f>
        <v>9</v>
      </c>
      <c r="AE117" s="261"/>
      <c r="AF117" s="247">
        <f>[2]AMS_raw!AD58</f>
        <v>37</v>
      </c>
      <c r="AG117" s="247">
        <f>[2]AMS_raw!AE58</f>
        <v>37</v>
      </c>
      <c r="AH117" s="247">
        <f>[2]AMS_raw!AG58</f>
        <v>292</v>
      </c>
      <c r="AI117" s="247">
        <f>[2]AMS_raw!AH58</f>
        <v>20</v>
      </c>
      <c r="AJ117" s="247">
        <f>[2]AMS_raw!AJ58</f>
        <v>180</v>
      </c>
      <c r="AK117" s="247">
        <f>[2]AMS_raw!AK58</f>
        <v>47</v>
      </c>
      <c r="AL117" s="298"/>
      <c r="AM117" s="262">
        <f t="shared" si="2"/>
        <v>37</v>
      </c>
      <c r="AN117">
        <f t="shared" si="3"/>
        <v>37</v>
      </c>
      <c r="AO117" t="s">
        <v>1343</v>
      </c>
      <c r="AP117" s="262">
        <f t="shared" si="4"/>
        <v>180</v>
      </c>
      <c r="AQ117">
        <f t="shared" si="5"/>
        <v>47</v>
      </c>
      <c r="AR117" s="7" t="s">
        <v>1345</v>
      </c>
      <c r="AS117" s="7"/>
      <c r="AT117" s="7"/>
      <c r="AU117" s="7"/>
      <c r="AV117" s="302"/>
      <c r="AW117" s="302"/>
      <c r="AX117" s="7"/>
      <c r="AY117" s="7" t="s">
        <v>1377</v>
      </c>
      <c r="AZ117" s="53" t="s">
        <v>1418</v>
      </c>
      <c r="BA117" s="285">
        <f>AVERAGE(AP117:AP118)+90</f>
        <v>269.5</v>
      </c>
      <c r="BB117" s="285">
        <f>90-AVERAGE(AQ117:AQ118)</f>
        <v>42.5</v>
      </c>
      <c r="BC117" s="286">
        <v>275.39999999999998</v>
      </c>
      <c r="BD117" s="286" t="s">
        <v>1481</v>
      </c>
      <c r="BE117" s="7" t="s">
        <v>258</v>
      </c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</row>
    <row r="118" spans="1:106" s="283" customFormat="1">
      <c r="A118" s="278" t="s">
        <v>1367</v>
      </c>
      <c r="B118" s="290" t="str">
        <f>[2]AMS_raw!A59</f>
        <v>BB52_2</v>
      </c>
      <c r="C118" s="318"/>
      <c r="D118" s="289"/>
      <c r="E118" s="290"/>
      <c r="F118" s="290"/>
      <c r="G118" s="290"/>
      <c r="H118" s="247">
        <v>72</v>
      </c>
      <c r="I118" s="247">
        <v>57</v>
      </c>
      <c r="J118" s="250"/>
      <c r="K118" s="284">
        <f>[2]AMS_raw!G59</f>
        <v>166.9</v>
      </c>
      <c r="L118" s="250">
        <f>[2]AMS_raw!H59</f>
        <v>0.17699999999999999</v>
      </c>
      <c r="M118" s="247">
        <f>[2]AMS_raw!M59</f>
        <v>1.048</v>
      </c>
      <c r="N118" s="247">
        <f>[2]AMS_raw!N59</f>
        <v>1.0026999999999999</v>
      </c>
      <c r="O118" s="247">
        <f>[2]AMS_raw!O59</f>
        <v>0.94930000000000003</v>
      </c>
      <c r="P118" s="255"/>
      <c r="Q118" s="256"/>
      <c r="R118" s="256"/>
      <c r="S118" s="280">
        <f>[2]AMS_raw!S59</f>
        <v>0.59499999999999997</v>
      </c>
      <c r="T118" s="280">
        <f>[2]AMS_raw!T59</f>
        <v>1.0109999999999999</v>
      </c>
      <c r="U118" s="280">
        <f>[2]AMS_raw!U59</f>
        <v>0.108</v>
      </c>
      <c r="V118" s="256">
        <f t="shared" si="1"/>
        <v>9.4179389312977104</v>
      </c>
      <c r="W118" s="247">
        <f>[2]AMS_raw!V59</f>
        <v>8.3000000000000004E-2</v>
      </c>
      <c r="X118" s="247">
        <f>[2]AMS_raw!AM59</f>
        <v>19</v>
      </c>
      <c r="Y118" s="247">
        <f>[2]AMS_raw!AN59</f>
        <v>46</v>
      </c>
      <c r="Z118" s="282"/>
      <c r="AA118" s="282"/>
      <c r="AB118" s="282"/>
      <c r="AC118" s="247">
        <f>[2]AMS_raw!AQ59</f>
        <v>281</v>
      </c>
      <c r="AD118" s="247">
        <f>[2]AMS_raw!AR59</f>
        <v>8</v>
      </c>
      <c r="AE118" s="261"/>
      <c r="AF118" s="247">
        <f>[2]AMS_raw!AD59</f>
        <v>37</v>
      </c>
      <c r="AG118" s="247">
        <f>[2]AMS_raw!AE59</f>
        <v>36</v>
      </c>
      <c r="AH118" s="247">
        <f>[2]AMS_raw!AG59</f>
        <v>292</v>
      </c>
      <c r="AI118" s="247">
        <f>[2]AMS_raw!AH59</f>
        <v>19</v>
      </c>
      <c r="AJ118" s="247">
        <f>[2]AMS_raw!AJ59</f>
        <v>179</v>
      </c>
      <c r="AK118" s="247">
        <f>[2]AMS_raw!AK59</f>
        <v>48</v>
      </c>
      <c r="AL118" s="298"/>
      <c r="AM118" s="262">
        <f t="shared" si="2"/>
        <v>37</v>
      </c>
      <c r="AN118">
        <f t="shared" si="3"/>
        <v>36</v>
      </c>
      <c r="AO118" t="s">
        <v>1343</v>
      </c>
      <c r="AP118" s="262">
        <f t="shared" si="4"/>
        <v>179</v>
      </c>
      <c r="AQ118">
        <f t="shared" si="5"/>
        <v>48</v>
      </c>
      <c r="AR118" s="7" t="s">
        <v>1345</v>
      </c>
      <c r="AS118" s="7"/>
      <c r="AT118" s="7"/>
      <c r="AU118" s="7"/>
      <c r="AV118" s="302"/>
      <c r="AW118" s="302"/>
      <c r="AX118" s="7"/>
      <c r="AY118" s="7" t="s">
        <v>1377</v>
      </c>
      <c r="AZ118" s="53" t="s">
        <v>1418</v>
      </c>
      <c r="BA118" s="66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</row>
    <row r="119" spans="1:106" s="283" customFormat="1">
      <c r="A119" s="76" t="s">
        <v>1255</v>
      </c>
      <c r="B119" s="290" t="str">
        <f>[2]AMS_raw!A60</f>
        <v>BB53_1</v>
      </c>
      <c r="C119" s="318"/>
      <c r="D119" s="289"/>
      <c r="E119" s="290"/>
      <c r="F119" s="290"/>
      <c r="G119" s="290"/>
      <c r="H119" s="247">
        <v>250</v>
      </c>
      <c r="I119" s="247">
        <v>37</v>
      </c>
      <c r="J119" s="250"/>
      <c r="K119" s="279">
        <f>[2]AMS_raw!G60</f>
        <v>380.1</v>
      </c>
      <c r="L119" s="250">
        <f>[2]AMS_raw!H60</f>
        <v>7.1999999999999995E-2</v>
      </c>
      <c r="M119" s="247">
        <f>[2]AMS_raw!M60</f>
        <v>1.0505</v>
      </c>
      <c r="N119" s="247">
        <f>[2]AMS_raw!N60</f>
        <v>1.0089999999999999</v>
      </c>
      <c r="O119" s="247">
        <f>[2]AMS_raw!O60</f>
        <v>0.94059999999999999</v>
      </c>
      <c r="P119" s="255"/>
      <c r="Q119" s="256"/>
      <c r="R119" s="256"/>
      <c r="S119" s="280">
        <f>[2]AMS_raw!S60</f>
        <v>0.46600000000000003</v>
      </c>
      <c r="T119" s="280">
        <f>[2]AMS_raw!T60</f>
        <v>1.03</v>
      </c>
      <c r="U119" s="280">
        <f>[2]AMS_raw!U60</f>
        <v>0.27</v>
      </c>
      <c r="V119" s="256">
        <f t="shared" si="1"/>
        <v>10.461684911946692</v>
      </c>
      <c r="W119" s="247">
        <f>[2]AMS_raw!V60</f>
        <v>0.24399999999999999</v>
      </c>
      <c r="X119" s="247">
        <f>[2]AMS_raw!AM60</f>
        <v>87</v>
      </c>
      <c r="Y119" s="247">
        <f>[2]AMS_raw!AN60</f>
        <v>55</v>
      </c>
      <c r="Z119" s="282"/>
      <c r="AA119" s="282"/>
      <c r="AB119" s="282"/>
      <c r="AC119" s="247">
        <f>[2]AMS_raw!AQ60</f>
        <v>189</v>
      </c>
      <c r="AD119" s="247">
        <f>[2]AMS_raw!AR60</f>
        <v>8</v>
      </c>
      <c r="AE119" s="261"/>
      <c r="AF119" s="247">
        <f>[2]AMS_raw!AD60</f>
        <v>191</v>
      </c>
      <c r="AG119" s="247">
        <f>[2]AMS_raw!AE60</f>
        <v>87</v>
      </c>
      <c r="AH119" s="247">
        <f>[2]AMS_raw!AG60</f>
        <v>352</v>
      </c>
      <c r="AI119" s="247">
        <f>[2]AMS_raw!AH60</f>
        <v>3</v>
      </c>
      <c r="AJ119" s="247">
        <f>[2]AMS_raw!AJ60</f>
        <v>82</v>
      </c>
      <c r="AK119" s="247">
        <f>[2]AMS_raw!AK60</f>
        <v>1</v>
      </c>
      <c r="AL119" s="298"/>
      <c r="AM119" s="262">
        <f t="shared" si="2"/>
        <v>191</v>
      </c>
      <c r="AN119">
        <f t="shared" si="3"/>
        <v>87</v>
      </c>
      <c r="AO119" s="283" t="s">
        <v>1368</v>
      </c>
      <c r="AP119" s="262">
        <f t="shared" si="4"/>
        <v>82</v>
      </c>
      <c r="AQ119">
        <f t="shared" si="5"/>
        <v>1</v>
      </c>
      <c r="AR119" s="7" t="s">
        <v>1369</v>
      </c>
      <c r="AS119" s="7"/>
      <c r="AT119" s="7"/>
      <c r="AU119" s="7"/>
      <c r="AV119" s="302"/>
      <c r="AW119" s="302"/>
      <c r="AX119" s="7"/>
      <c r="AY119" s="7" t="s">
        <v>1400</v>
      </c>
      <c r="AZ119" s="53" t="s">
        <v>1379</v>
      </c>
      <c r="BA119" s="5">
        <f>AVERAGE(AP119:AP121)+90</f>
        <v>171.66666666666669</v>
      </c>
      <c r="BB119" s="5">
        <f>90-AVERAGE(AQ119:AQ121)</f>
        <v>88</v>
      </c>
      <c r="BC119" s="7">
        <v>270.39999999999998</v>
      </c>
      <c r="BD119" s="7" t="s">
        <v>1479</v>
      </c>
      <c r="BE119" s="7" t="s">
        <v>258</v>
      </c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</row>
    <row r="120" spans="1:106" s="283" customFormat="1">
      <c r="A120" s="76" t="s">
        <v>1255</v>
      </c>
      <c r="B120" s="290" t="str">
        <f>[2]AMS_raw!A61</f>
        <v>BB53_2</v>
      </c>
      <c r="C120" s="318"/>
      <c r="D120" s="289"/>
      <c r="E120" s="290"/>
      <c r="F120" s="290"/>
      <c r="G120" s="290"/>
      <c r="H120" s="247">
        <v>250</v>
      </c>
      <c r="I120" s="247">
        <v>37</v>
      </c>
      <c r="J120" s="250"/>
      <c r="K120" s="279">
        <f>[2]AMS_raw!G61</f>
        <v>338.4</v>
      </c>
      <c r="L120" s="250">
        <f>[2]AMS_raw!H61</f>
        <v>7.2999999999999995E-2</v>
      </c>
      <c r="M120" s="247">
        <f>[2]AMS_raw!M61</f>
        <v>1.0508</v>
      </c>
      <c r="N120" s="247">
        <f>[2]AMS_raw!N61</f>
        <v>1.0134000000000001</v>
      </c>
      <c r="O120" s="247">
        <f>[2]AMS_raw!O61</f>
        <v>0.93569999999999998</v>
      </c>
      <c r="P120" s="255"/>
      <c r="Q120" s="256"/>
      <c r="R120" s="256"/>
      <c r="S120" s="280">
        <f>[2]AMS_raw!S61</f>
        <v>0.38800000000000001</v>
      </c>
      <c r="T120" s="280">
        <f>[2]AMS_raw!T61</f>
        <v>1.0449999999999999</v>
      </c>
      <c r="U120" s="280">
        <f>[2]AMS_raw!U61</f>
        <v>0.375</v>
      </c>
      <c r="V120" s="256">
        <f t="shared" si="1"/>
        <v>10.953559192995812</v>
      </c>
      <c r="W120" s="247">
        <f>[2]AMS_raw!V61</f>
        <v>0.35</v>
      </c>
      <c r="X120" s="247">
        <f>[2]AMS_raw!AM61</f>
        <v>82</v>
      </c>
      <c r="Y120" s="247">
        <f>[2]AMS_raw!AN61</f>
        <v>57</v>
      </c>
      <c r="Z120" s="282"/>
      <c r="AA120" s="282"/>
      <c r="AB120" s="282"/>
      <c r="AC120" s="247">
        <f>[2]AMS_raw!AQ61</f>
        <v>188</v>
      </c>
      <c r="AD120" s="247">
        <f>[2]AMS_raw!AR61</f>
        <v>10</v>
      </c>
      <c r="AE120" s="261"/>
      <c r="AF120" s="247">
        <f>[2]AMS_raw!AD61</f>
        <v>207</v>
      </c>
      <c r="AG120" s="247">
        <f>[2]AMS_raw!AE61</f>
        <v>84</v>
      </c>
      <c r="AH120" s="247">
        <f>[2]AMS_raw!AG61</f>
        <v>353</v>
      </c>
      <c r="AI120" s="247">
        <f>[2]AMS_raw!AH61</f>
        <v>5</v>
      </c>
      <c r="AJ120" s="247">
        <f>[2]AMS_raw!AJ61</f>
        <v>83</v>
      </c>
      <c r="AK120" s="247">
        <f>[2]AMS_raw!AK61</f>
        <v>3</v>
      </c>
      <c r="AL120" s="298"/>
      <c r="AM120" s="262">
        <f t="shared" si="2"/>
        <v>207</v>
      </c>
      <c r="AN120">
        <f t="shared" si="3"/>
        <v>84</v>
      </c>
      <c r="AO120" s="283" t="s">
        <v>1368</v>
      </c>
      <c r="AP120" s="262">
        <f t="shared" si="4"/>
        <v>83</v>
      </c>
      <c r="AQ120">
        <f t="shared" si="5"/>
        <v>3</v>
      </c>
      <c r="AR120" s="7" t="s">
        <v>1369</v>
      </c>
      <c r="AS120" s="7"/>
      <c r="AT120" s="7"/>
      <c r="AU120" s="7"/>
      <c r="AV120" s="302"/>
      <c r="AW120" s="302"/>
      <c r="AX120" s="7"/>
      <c r="AY120" s="7" t="s">
        <v>1400</v>
      </c>
      <c r="AZ120" s="53" t="s">
        <v>1379</v>
      </c>
      <c r="BA120" s="66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</row>
    <row r="121" spans="1:106" s="283" customFormat="1">
      <c r="A121" s="76" t="s">
        <v>1255</v>
      </c>
      <c r="B121" s="290" t="str">
        <f>[2]AMS_raw!A62</f>
        <v>BB53_3</v>
      </c>
      <c r="C121" s="318"/>
      <c r="D121" s="289"/>
      <c r="E121" s="290"/>
      <c r="F121" s="290"/>
      <c r="G121" s="290"/>
      <c r="H121" s="247">
        <v>250</v>
      </c>
      <c r="I121" s="247">
        <v>37</v>
      </c>
      <c r="J121" s="250"/>
      <c r="K121" s="279">
        <f>[2]AMS_raw!G62</f>
        <v>346.2</v>
      </c>
      <c r="L121" s="250">
        <f>[2]AMS_raw!H62</f>
        <v>8.4000000000000005E-2</v>
      </c>
      <c r="M121" s="247">
        <f>[2]AMS_raw!M62</f>
        <v>1.0488</v>
      </c>
      <c r="N121" s="247">
        <f>[2]AMS_raw!N62</f>
        <v>1.0079</v>
      </c>
      <c r="O121" s="247">
        <f>[2]AMS_raw!O62</f>
        <v>0.94330000000000003</v>
      </c>
      <c r="P121" s="255"/>
      <c r="Q121" s="256"/>
      <c r="R121" s="256"/>
      <c r="S121" s="280">
        <f>[2]AMS_raw!S62</f>
        <v>0.48099999999999998</v>
      </c>
      <c r="T121" s="280">
        <f>[2]AMS_raw!T62</f>
        <v>1.0269999999999999</v>
      </c>
      <c r="U121" s="280">
        <f>[2]AMS_raw!U62</f>
        <v>0.249</v>
      </c>
      <c r="V121" s="256">
        <f t="shared" si="1"/>
        <v>10.059115179252473</v>
      </c>
      <c r="W121" s="247">
        <f>[2]AMS_raw!V62</f>
        <v>0.224</v>
      </c>
      <c r="X121" s="247">
        <f>[2]AMS_raw!AM62</f>
        <v>86</v>
      </c>
      <c r="Y121" s="247">
        <f>[2]AMS_raw!AN62</f>
        <v>53</v>
      </c>
      <c r="Z121" s="282"/>
      <c r="AA121" s="282"/>
      <c r="AB121" s="282"/>
      <c r="AC121" s="247">
        <f>[2]AMS_raw!AQ62</f>
        <v>186</v>
      </c>
      <c r="AD121" s="247">
        <f>[2]AMS_raw!AR62</f>
        <v>7</v>
      </c>
      <c r="AE121" s="261"/>
      <c r="AF121" s="280">
        <f>[2]AMS_raw!AD62</f>
        <v>239</v>
      </c>
      <c r="AG121" s="280">
        <f>[2]AMS_raw!AE62</f>
        <v>88</v>
      </c>
      <c r="AH121" s="280">
        <f>[2]AMS_raw!AG62</f>
        <v>350</v>
      </c>
      <c r="AI121" s="280">
        <f>[2]AMS_raw!AH62</f>
        <v>1</v>
      </c>
      <c r="AJ121" s="280">
        <f>[2]AMS_raw!AJ62</f>
        <v>80</v>
      </c>
      <c r="AK121" s="280">
        <f>[2]AMS_raw!AK62</f>
        <v>2</v>
      </c>
      <c r="AL121" s="298"/>
      <c r="AM121" s="262">
        <f t="shared" si="2"/>
        <v>239</v>
      </c>
      <c r="AN121">
        <f t="shared" si="3"/>
        <v>88</v>
      </c>
      <c r="AO121" s="283" t="s">
        <v>1368</v>
      </c>
      <c r="AP121" s="262">
        <f t="shared" si="4"/>
        <v>80</v>
      </c>
      <c r="AQ121">
        <f t="shared" si="5"/>
        <v>2</v>
      </c>
      <c r="AR121" s="7" t="s">
        <v>1369</v>
      </c>
      <c r="AS121" s="7"/>
      <c r="AT121" s="7"/>
      <c r="AU121" s="7"/>
      <c r="AV121" s="302"/>
      <c r="AW121" s="302"/>
      <c r="AX121" s="7"/>
      <c r="AY121" s="7" t="s">
        <v>1400</v>
      </c>
      <c r="AZ121" s="53" t="s">
        <v>1379</v>
      </c>
      <c r="BA121" s="66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</row>
    <row r="122" spans="1:106" s="283" customFormat="1">
      <c r="A122" s="76" t="s">
        <v>1255</v>
      </c>
      <c r="B122" s="290" t="str">
        <f>[2]AMS_raw!A64</f>
        <v>BB54_1</v>
      </c>
      <c r="C122" s="318"/>
      <c r="D122" s="289"/>
      <c r="E122" s="290"/>
      <c r="F122" s="290"/>
      <c r="G122" s="290"/>
      <c r="H122" s="247">
        <v>230</v>
      </c>
      <c r="I122" s="247">
        <v>21</v>
      </c>
      <c r="J122" s="250"/>
      <c r="K122" s="279">
        <f>[2]AMS_raw!G64</f>
        <v>344.2</v>
      </c>
      <c r="L122" s="250">
        <f>[2]AMS_raw!H64</f>
        <v>5.3999999999999999E-2</v>
      </c>
      <c r="M122" s="247">
        <f>[2]AMS_raw!M64</f>
        <v>1.0382</v>
      </c>
      <c r="N122" s="247">
        <f>[2]AMS_raw!N64</f>
        <v>1.0014000000000001</v>
      </c>
      <c r="O122" s="247">
        <f>[2]AMS_raw!O64</f>
        <v>0.96050000000000002</v>
      </c>
      <c r="P122" s="255"/>
      <c r="Q122" s="256"/>
      <c r="R122" s="256"/>
      <c r="S122" s="280">
        <f>[2]AMS_raw!S64</f>
        <v>0.62</v>
      </c>
      <c r="T122" s="280">
        <f>[2]AMS_raw!T64</f>
        <v>1.006</v>
      </c>
      <c r="U122" s="280">
        <f>[2]AMS_raw!U64</f>
        <v>7.1999999999999995E-2</v>
      </c>
      <c r="V122" s="256">
        <f t="shared" si="1"/>
        <v>7.4841071084569446</v>
      </c>
      <c r="W122" s="247">
        <f>[2]AMS_raw!V64</f>
        <v>5.2999999999999999E-2</v>
      </c>
      <c r="X122" s="247">
        <f>[2]AMS_raw!AM64</f>
        <v>87</v>
      </c>
      <c r="Y122" s="247">
        <f>[2]AMS_raw!AN64</f>
        <v>34</v>
      </c>
      <c r="Z122" s="282"/>
      <c r="AA122" s="282"/>
      <c r="AB122" s="282"/>
      <c r="AC122" s="247">
        <f>[2]AMS_raw!AQ64</f>
        <v>179</v>
      </c>
      <c r="AD122" s="247">
        <f>[2]AMS_raw!AR64</f>
        <v>2</v>
      </c>
      <c r="AE122" s="261"/>
      <c r="AF122" s="247">
        <f>[2]AMS_raw!AD64</f>
        <v>317</v>
      </c>
      <c r="AG122" s="247">
        <f>[2]AMS_raw!AE64</f>
        <v>55</v>
      </c>
      <c r="AH122" s="247">
        <f>[2]AMS_raw!AG64</f>
        <v>141</v>
      </c>
      <c r="AI122" s="247">
        <f>[2]AMS_raw!AH64</f>
        <v>35</v>
      </c>
      <c r="AJ122" s="247">
        <f>[2]AMS_raw!AJ64</f>
        <v>50</v>
      </c>
      <c r="AK122" s="247">
        <f>[2]AMS_raw!AK64</f>
        <v>2</v>
      </c>
      <c r="AL122" s="298"/>
      <c r="AM122" s="262">
        <f t="shared" si="2"/>
        <v>317</v>
      </c>
      <c r="AN122">
        <f t="shared" si="3"/>
        <v>55</v>
      </c>
      <c r="AO122" t="s">
        <v>1343</v>
      </c>
      <c r="AP122" s="262">
        <f t="shared" si="4"/>
        <v>50</v>
      </c>
      <c r="AQ122">
        <f t="shared" si="5"/>
        <v>2</v>
      </c>
      <c r="AR122" s="7" t="s">
        <v>1345</v>
      </c>
      <c r="AS122" s="7"/>
      <c r="AT122" s="7"/>
      <c r="AU122" s="7"/>
      <c r="AV122" s="302"/>
      <c r="AW122" s="302"/>
      <c r="AX122" s="7"/>
      <c r="AY122" s="7" t="s">
        <v>1377</v>
      </c>
      <c r="AZ122" s="53" t="s">
        <v>1415</v>
      </c>
      <c r="BA122" s="5">
        <f>AVERAGE(AP122:AP124)+90</f>
        <v>139.33333333333334</v>
      </c>
      <c r="BB122" s="5">
        <f>90-AVERAGE(AQ122:AQ124)</f>
        <v>87.333333333333329</v>
      </c>
      <c r="BC122" s="7">
        <v>270.39999999999998</v>
      </c>
      <c r="BD122" s="7" t="s">
        <v>1479</v>
      </c>
      <c r="BE122" s="7" t="s">
        <v>1500</v>
      </c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</row>
    <row r="123" spans="1:106" s="283" customFormat="1">
      <c r="A123" s="76" t="s">
        <v>1255</v>
      </c>
      <c r="B123" s="290" t="str">
        <f>[2]AMS_raw!A65</f>
        <v>BB54_2</v>
      </c>
      <c r="C123" s="318"/>
      <c r="D123" s="289"/>
      <c r="E123" s="290"/>
      <c r="F123" s="290"/>
      <c r="G123" s="290"/>
      <c r="H123" s="247">
        <v>230</v>
      </c>
      <c r="I123" s="247">
        <v>21</v>
      </c>
      <c r="J123" s="250"/>
      <c r="K123" s="279">
        <f>[2]AMS_raw!G65</f>
        <v>386.2</v>
      </c>
      <c r="L123" s="250">
        <f>[2]AMS_raw!H65</f>
        <v>2.1999999999999999E-2</v>
      </c>
      <c r="M123" s="247">
        <f>[2]AMS_raw!M65</f>
        <v>1.0396000000000001</v>
      </c>
      <c r="N123" s="247">
        <f>[2]AMS_raw!N65</f>
        <v>1.0013000000000001</v>
      </c>
      <c r="O123" s="247">
        <f>[2]AMS_raw!O65</f>
        <v>0.95909999999999995</v>
      </c>
      <c r="P123" s="255"/>
      <c r="Q123" s="256"/>
      <c r="R123" s="256"/>
      <c r="S123" s="280">
        <f>[2]AMS_raw!S65</f>
        <v>0.624</v>
      </c>
      <c r="T123" s="280">
        <f>[2]AMS_raw!T65</f>
        <v>1.006</v>
      </c>
      <c r="U123" s="280">
        <f>[2]AMS_raw!U65</f>
        <v>6.9000000000000006E-2</v>
      </c>
      <c r="V123" s="256">
        <f t="shared" si="1"/>
        <v>7.7433628318584189</v>
      </c>
      <c r="W123" s="247">
        <f>[2]AMS_raw!V65</f>
        <v>4.9000000000000002E-2</v>
      </c>
      <c r="X123" s="247">
        <f>[2]AMS_raw!AM65</f>
        <v>86</v>
      </c>
      <c r="Y123" s="247">
        <f>[2]AMS_raw!AN65</f>
        <v>35</v>
      </c>
      <c r="Z123" s="282"/>
      <c r="AA123" s="282"/>
      <c r="AB123" s="282"/>
      <c r="AC123" s="247">
        <f>[2]AMS_raw!AQ65</f>
        <v>179</v>
      </c>
      <c r="AD123" s="247">
        <f>[2]AMS_raw!AR65</f>
        <v>5</v>
      </c>
      <c r="AE123" s="261"/>
      <c r="AF123" s="247">
        <f>[2]AMS_raw!AD65</f>
        <v>315</v>
      </c>
      <c r="AG123" s="247">
        <f>[2]AMS_raw!AE65</f>
        <v>56</v>
      </c>
      <c r="AH123" s="247">
        <f>[2]AMS_raw!AG65</f>
        <v>145</v>
      </c>
      <c r="AI123" s="247">
        <f>[2]AMS_raw!AH65</f>
        <v>34</v>
      </c>
      <c r="AJ123" s="247">
        <f>[2]AMS_raw!AJ65</f>
        <v>52</v>
      </c>
      <c r="AK123" s="247">
        <f>[2]AMS_raw!AK65</f>
        <v>4</v>
      </c>
      <c r="AL123" s="298"/>
      <c r="AM123" s="262">
        <f t="shared" si="2"/>
        <v>315</v>
      </c>
      <c r="AN123">
        <f t="shared" si="3"/>
        <v>56</v>
      </c>
      <c r="AO123" t="s">
        <v>1343</v>
      </c>
      <c r="AP123" s="262">
        <f t="shared" si="4"/>
        <v>52</v>
      </c>
      <c r="AQ123">
        <f t="shared" si="5"/>
        <v>4</v>
      </c>
      <c r="AR123" s="7" t="s">
        <v>1345</v>
      </c>
      <c r="AS123" s="7"/>
      <c r="AT123" s="7"/>
      <c r="AU123" s="7"/>
      <c r="AV123" s="302"/>
      <c r="AW123" s="302"/>
      <c r="AX123" s="7"/>
      <c r="AY123" s="7" t="s">
        <v>1377</v>
      </c>
      <c r="AZ123" s="53" t="s">
        <v>1415</v>
      </c>
      <c r="BA123" s="66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</row>
    <row r="124" spans="1:106" s="283" customFormat="1">
      <c r="A124" s="76" t="s">
        <v>1255</v>
      </c>
      <c r="B124" s="290" t="str">
        <f>[2]AMS_raw!A66</f>
        <v>BB54_3</v>
      </c>
      <c r="C124" s="318"/>
      <c r="D124" s="289"/>
      <c r="E124" s="290"/>
      <c r="F124" s="290"/>
      <c r="G124" s="290"/>
      <c r="H124" s="247">
        <v>230</v>
      </c>
      <c r="I124" s="247">
        <v>21</v>
      </c>
      <c r="J124" s="250"/>
      <c r="K124" s="279">
        <f>[2]AMS_raw!G66</f>
        <v>299.8</v>
      </c>
      <c r="L124" s="250">
        <f>[2]AMS_raw!H66</f>
        <v>9.5000000000000001E-2</v>
      </c>
      <c r="M124" s="247">
        <f>[2]AMS_raw!M66</f>
        <v>1.042</v>
      </c>
      <c r="N124" s="247">
        <f>[2]AMS_raw!N66</f>
        <v>1.0003</v>
      </c>
      <c r="O124" s="247">
        <f>[2]AMS_raw!O66</f>
        <v>0.9577</v>
      </c>
      <c r="P124" s="255"/>
      <c r="Q124" s="256"/>
      <c r="R124" s="256"/>
      <c r="S124" s="280">
        <f>[2]AMS_raw!S66</f>
        <v>0.65600000000000003</v>
      </c>
      <c r="T124" s="280">
        <f>[2]AMS_raw!T66</f>
        <v>1.0029999999999999</v>
      </c>
      <c r="U124" s="280">
        <f>[2]AMS_raw!U66</f>
        <v>3.3000000000000002E-2</v>
      </c>
      <c r="V124" s="256">
        <f t="shared" si="1"/>
        <v>8.0902111324376236</v>
      </c>
      <c r="W124" s="247">
        <f>[2]AMS_raw!V66</f>
        <v>1.2E-2</v>
      </c>
      <c r="X124" s="247">
        <f>[2]AMS_raw!AM66</f>
        <v>85</v>
      </c>
      <c r="Y124" s="247">
        <f>[2]AMS_raw!AN66</f>
        <v>35</v>
      </c>
      <c r="Z124" s="282"/>
      <c r="AA124" s="282"/>
      <c r="AB124" s="282"/>
      <c r="AC124" s="247">
        <f>[2]AMS_raw!AQ66</f>
        <v>175</v>
      </c>
      <c r="AD124" s="247">
        <f>[2]AMS_raw!AR66</f>
        <v>0</v>
      </c>
      <c r="AE124" s="261"/>
      <c r="AF124" s="247">
        <f>[2]AMS_raw!AD66</f>
        <v>313</v>
      </c>
      <c r="AG124" s="247">
        <f>[2]AMS_raw!AE66</f>
        <v>56</v>
      </c>
      <c r="AH124" s="247">
        <f>[2]AMS_raw!AG66</f>
        <v>137</v>
      </c>
      <c r="AI124" s="247">
        <f>[2]AMS_raw!AH66</f>
        <v>34</v>
      </c>
      <c r="AJ124" s="247">
        <f>[2]AMS_raw!AJ66</f>
        <v>46</v>
      </c>
      <c r="AK124" s="247">
        <f>[2]AMS_raw!AK66</f>
        <v>2</v>
      </c>
      <c r="AL124" s="298"/>
      <c r="AM124" s="262">
        <f t="shared" si="2"/>
        <v>313</v>
      </c>
      <c r="AN124">
        <f t="shared" si="3"/>
        <v>56</v>
      </c>
      <c r="AO124" t="s">
        <v>1343</v>
      </c>
      <c r="AP124" s="262">
        <f t="shared" si="4"/>
        <v>46</v>
      </c>
      <c r="AQ124">
        <f t="shared" si="5"/>
        <v>2</v>
      </c>
      <c r="AR124" s="7" t="s">
        <v>1345</v>
      </c>
      <c r="AS124" s="7"/>
      <c r="AT124" s="7"/>
      <c r="AU124" s="7"/>
      <c r="AV124" s="302"/>
      <c r="AW124" s="302"/>
      <c r="AX124" s="7"/>
      <c r="AY124" s="7" t="s">
        <v>1377</v>
      </c>
      <c r="AZ124" s="53" t="s">
        <v>1415</v>
      </c>
      <c r="BA124" s="66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</row>
    <row r="125" spans="1:106" s="283" customFormat="1">
      <c r="A125" s="76" t="s">
        <v>1255</v>
      </c>
      <c r="B125" s="290" t="str">
        <f>[2]AMS_raw!A67</f>
        <v>BB55_1</v>
      </c>
      <c r="C125" s="318"/>
      <c r="D125" s="289"/>
      <c r="E125" s="290"/>
      <c r="F125" s="290"/>
      <c r="G125" s="290"/>
      <c r="H125" s="247">
        <v>323</v>
      </c>
      <c r="I125" s="247">
        <v>53</v>
      </c>
      <c r="J125" s="250"/>
      <c r="K125" s="279">
        <f>[2]AMS_raw!G67</f>
        <v>407.7</v>
      </c>
      <c r="L125" s="250">
        <f>[2]AMS_raw!H67</f>
        <v>2.4E-2</v>
      </c>
      <c r="M125" s="247">
        <f>[2]AMS_raw!M67</f>
        <v>1.0412999999999999</v>
      </c>
      <c r="N125" s="247">
        <f>[2]AMS_raw!N67</f>
        <v>1.0035000000000001</v>
      </c>
      <c r="O125" s="247">
        <f>[2]AMS_raw!O67</f>
        <v>0.95530000000000004</v>
      </c>
      <c r="P125" s="255"/>
      <c r="Q125" s="256"/>
      <c r="R125" s="256"/>
      <c r="S125" s="280">
        <f>[2]AMS_raw!S67</f>
        <v>0.56299999999999994</v>
      </c>
      <c r="T125" s="280">
        <f>[2]AMS_raw!T67</f>
        <v>1.012</v>
      </c>
      <c r="U125" s="280">
        <f>[2]AMS_raw!U67</f>
        <v>0.14299999999999999</v>
      </c>
      <c r="V125" s="256">
        <f t="shared" si="1"/>
        <v>8.2589071353116168</v>
      </c>
      <c r="W125" s="247">
        <f>[2]AMS_raw!V67</f>
        <v>0.121</v>
      </c>
      <c r="X125" s="247">
        <f>[2]AMS_raw!AM67</f>
        <v>248</v>
      </c>
      <c r="Y125" s="247">
        <f>[2]AMS_raw!AN67</f>
        <v>62</v>
      </c>
      <c r="Z125" s="282"/>
      <c r="AA125" s="282"/>
      <c r="AB125" s="282"/>
      <c r="AC125" s="247">
        <f>[2]AMS_raw!AQ67</f>
        <v>117</v>
      </c>
      <c r="AD125" s="247">
        <f>[2]AMS_raw!AR67</f>
        <v>19</v>
      </c>
      <c r="AE125" s="261"/>
      <c r="AF125" s="247">
        <f>[2]AMS_raw!AD67</f>
        <v>223</v>
      </c>
      <c r="AG125" s="247">
        <f>[2]AMS_raw!AE67</f>
        <v>10</v>
      </c>
      <c r="AH125" s="247">
        <f>[2]AMS_raw!AG67</f>
        <v>319</v>
      </c>
      <c r="AI125" s="247">
        <f>[2]AMS_raw!AH67</f>
        <v>27</v>
      </c>
      <c r="AJ125" s="247">
        <f>[2]AMS_raw!AJ67</f>
        <v>114</v>
      </c>
      <c r="AK125" s="247">
        <f>[2]AMS_raw!AK67</f>
        <v>61</v>
      </c>
      <c r="AL125" s="298"/>
      <c r="AM125" s="262">
        <f t="shared" si="2"/>
        <v>223</v>
      </c>
      <c r="AN125">
        <f t="shared" si="3"/>
        <v>10</v>
      </c>
      <c r="AO125" s="283" t="s">
        <v>1368</v>
      </c>
      <c r="AP125" s="262">
        <f t="shared" si="4"/>
        <v>114</v>
      </c>
      <c r="AQ125">
        <f t="shared" si="5"/>
        <v>61</v>
      </c>
      <c r="AR125" s="7" t="s">
        <v>1369</v>
      </c>
      <c r="AS125" s="7"/>
      <c r="AT125" s="7"/>
      <c r="AU125" s="7"/>
      <c r="AV125" s="302"/>
      <c r="AW125" s="302"/>
      <c r="AX125" s="7"/>
      <c r="AY125" s="7" t="s">
        <v>1377</v>
      </c>
      <c r="AZ125" s="53" t="s">
        <v>1379</v>
      </c>
      <c r="BA125" s="285">
        <f>AVERAGE(AP125:AP127)+90</f>
        <v>282</v>
      </c>
      <c r="BB125" s="285">
        <f>90-AVERAGE(AQ125:AQ127)</f>
        <v>29</v>
      </c>
      <c r="BC125" s="286">
        <v>269.39999999999998</v>
      </c>
      <c r="BD125" s="286" t="s">
        <v>1494</v>
      </c>
      <c r="BE125" s="7" t="s">
        <v>1500</v>
      </c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</row>
    <row r="126" spans="1:106" s="283" customFormat="1">
      <c r="A126" s="76" t="s">
        <v>1255</v>
      </c>
      <c r="B126" s="290" t="str">
        <f>[2]AMS_raw!A68</f>
        <v>BB55_2</v>
      </c>
      <c r="C126" s="318"/>
      <c r="D126" s="289"/>
      <c r="E126" s="290"/>
      <c r="F126" s="290"/>
      <c r="G126" s="290"/>
      <c r="H126" s="247">
        <v>323</v>
      </c>
      <c r="I126" s="247">
        <v>53</v>
      </c>
      <c r="J126" s="250"/>
      <c r="K126" s="279">
        <f>[2]AMS_raw!G68</f>
        <v>381.2</v>
      </c>
      <c r="L126" s="250">
        <f>[2]AMS_raw!H68</f>
        <v>4.7E-2</v>
      </c>
      <c r="M126" s="247">
        <f>[2]AMS_raw!M68</f>
        <v>1.0402</v>
      </c>
      <c r="N126" s="247">
        <f>[2]AMS_raw!N68</f>
        <v>0.99980000000000002</v>
      </c>
      <c r="O126" s="247">
        <f>[2]AMS_raw!O68</f>
        <v>0.96</v>
      </c>
      <c r="P126" s="255"/>
      <c r="Q126" s="256"/>
      <c r="R126" s="256"/>
      <c r="S126" s="280">
        <f>[2]AMS_raw!S68</f>
        <v>0.67300000000000004</v>
      </c>
      <c r="T126" s="280">
        <f>[2]AMS_raw!T68</f>
        <v>1.0009999999999999</v>
      </c>
      <c r="U126" s="280">
        <f>[2]AMS_raw!U68</f>
        <v>1.2999999999999999E-2</v>
      </c>
      <c r="V126" s="256">
        <f t="shared" si="1"/>
        <v>7.7100557585079841</v>
      </c>
      <c r="W126" s="247">
        <f>[2]AMS_raw!V68</f>
        <v>-7.0000000000000001E-3</v>
      </c>
      <c r="X126" s="247">
        <f>[2]AMS_raw!AM68</f>
        <v>284</v>
      </c>
      <c r="Y126" s="247">
        <f>[2]AMS_raw!AN68</f>
        <v>63</v>
      </c>
      <c r="Z126" s="282"/>
      <c r="AA126" s="282"/>
      <c r="AB126" s="282"/>
      <c r="AC126" s="247">
        <f>[2]AMS_raw!AQ68</f>
        <v>62</v>
      </c>
      <c r="AD126" s="247">
        <f>[2]AMS_raw!AR68</f>
        <v>21</v>
      </c>
      <c r="AE126" s="261"/>
      <c r="AF126" s="247">
        <f>[2]AMS_raw!AD68</f>
        <v>240</v>
      </c>
      <c r="AG126" s="247">
        <f>[2]AMS_raw!AE68</f>
        <v>11</v>
      </c>
      <c r="AH126" s="247">
        <f>[2]AMS_raw!AG68</f>
        <v>144</v>
      </c>
      <c r="AI126" s="247">
        <f>[2]AMS_raw!AH68</f>
        <v>27</v>
      </c>
      <c r="AJ126" s="247">
        <f>[2]AMS_raw!AJ68</f>
        <v>349</v>
      </c>
      <c r="AK126" s="247">
        <f>[2]AMS_raw!AK68</f>
        <v>60</v>
      </c>
      <c r="AL126" s="298"/>
      <c r="AM126" s="262">
        <f t="shared" si="2"/>
        <v>240</v>
      </c>
      <c r="AN126">
        <f t="shared" si="3"/>
        <v>11</v>
      </c>
      <c r="AO126" s="283" t="s">
        <v>1368</v>
      </c>
      <c r="AP126" s="262">
        <f t="shared" si="4"/>
        <v>349</v>
      </c>
      <c r="AQ126">
        <f t="shared" si="5"/>
        <v>60</v>
      </c>
      <c r="AR126" s="7" t="s">
        <v>1369</v>
      </c>
      <c r="AS126" s="7"/>
      <c r="AT126" s="7"/>
      <c r="AU126" s="7"/>
      <c r="AV126" s="302"/>
      <c r="AW126" s="302"/>
      <c r="AX126" s="7"/>
      <c r="AY126" s="7" t="s">
        <v>1377</v>
      </c>
      <c r="AZ126" s="53" t="s">
        <v>181</v>
      </c>
      <c r="BA126" s="66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</row>
    <row r="127" spans="1:106" s="283" customFormat="1">
      <c r="A127" s="76" t="s">
        <v>1255</v>
      </c>
      <c r="B127" s="290" t="str">
        <f>[2]AMS_raw!A69</f>
        <v>BB55_3</v>
      </c>
      <c r="C127" s="318"/>
      <c r="D127" s="289"/>
      <c r="E127" s="290"/>
      <c r="F127" s="290"/>
      <c r="G127" s="290"/>
      <c r="H127" s="247">
        <v>323</v>
      </c>
      <c r="I127" s="247">
        <v>53</v>
      </c>
      <c r="J127" s="250"/>
      <c r="K127" s="279">
        <f>[2]AMS_raw!G69</f>
        <v>410.7</v>
      </c>
      <c r="L127" s="250">
        <f>[2]AMS_raw!H69</f>
        <v>6.0999999999999999E-2</v>
      </c>
      <c r="M127" s="247">
        <f>[2]AMS_raw!M69</f>
        <v>1.0416000000000001</v>
      </c>
      <c r="N127" s="247">
        <f>[2]AMS_raw!N69</f>
        <v>1.0019</v>
      </c>
      <c r="O127" s="247">
        <f>[2]AMS_raw!O69</f>
        <v>0.95650000000000002</v>
      </c>
      <c r="P127" s="255"/>
      <c r="Q127" s="256"/>
      <c r="R127" s="256"/>
      <c r="S127" s="280">
        <f>[2]AMS_raw!S69</f>
        <v>0.60799999999999998</v>
      </c>
      <c r="T127" s="280">
        <f>[2]AMS_raw!T69</f>
        <v>1.008</v>
      </c>
      <c r="U127" s="280">
        <f>[2]AMS_raw!U69</f>
        <v>8.8999999999999996E-2</v>
      </c>
      <c r="V127" s="256">
        <f t="shared" si="1"/>
        <v>8.1701228878648298</v>
      </c>
      <c r="W127" s="247">
        <f>[2]AMS_raw!V69</f>
        <v>6.7000000000000004E-2</v>
      </c>
      <c r="X127" s="247">
        <f>[2]AMS_raw!AM69</f>
        <v>247</v>
      </c>
      <c r="Y127" s="247">
        <f>[2]AMS_raw!AN69</f>
        <v>61</v>
      </c>
      <c r="Z127" s="282"/>
      <c r="AA127" s="282"/>
      <c r="AB127" s="282"/>
      <c r="AC127" s="247">
        <f>[2]AMS_raw!AQ69</f>
        <v>116</v>
      </c>
      <c r="AD127" s="247">
        <f>[2]AMS_raw!AR69</f>
        <v>20</v>
      </c>
      <c r="AE127" s="261"/>
      <c r="AF127" s="247">
        <f>[2]AMS_raw!AD69</f>
        <v>222</v>
      </c>
      <c r="AG127" s="247">
        <f>[2]AMS_raw!AE69</f>
        <v>10</v>
      </c>
      <c r="AH127" s="247">
        <f>[2]AMS_raw!AG69</f>
        <v>317</v>
      </c>
      <c r="AI127" s="247">
        <f>[2]AMS_raw!AH69</f>
        <v>26</v>
      </c>
      <c r="AJ127" s="247">
        <f>[2]AMS_raw!AJ69</f>
        <v>113</v>
      </c>
      <c r="AK127" s="247">
        <f>[2]AMS_raw!AK69</f>
        <v>62</v>
      </c>
      <c r="AL127" s="298"/>
      <c r="AM127" s="262">
        <f t="shared" si="2"/>
        <v>222</v>
      </c>
      <c r="AN127">
        <f t="shared" si="3"/>
        <v>10</v>
      </c>
      <c r="AO127" s="283" t="s">
        <v>1368</v>
      </c>
      <c r="AP127" s="262">
        <f t="shared" si="4"/>
        <v>113</v>
      </c>
      <c r="AQ127">
        <f t="shared" si="5"/>
        <v>62</v>
      </c>
      <c r="AR127" s="7" t="s">
        <v>1369</v>
      </c>
      <c r="AS127" s="7"/>
      <c r="AT127" s="7"/>
      <c r="AU127" s="7"/>
      <c r="AV127" s="302"/>
      <c r="AW127" s="302"/>
      <c r="AX127" s="7"/>
      <c r="AY127" s="7" t="s">
        <v>1377</v>
      </c>
      <c r="AZ127" s="53" t="s">
        <v>1379</v>
      </c>
      <c r="BA127" s="66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</row>
    <row r="128" spans="1:106" s="283" customFormat="1">
      <c r="A128" s="76" t="s">
        <v>1255</v>
      </c>
      <c r="B128" s="290" t="str">
        <f>[2]AMS_raw!A70</f>
        <v>BB56_1</v>
      </c>
      <c r="C128" s="318"/>
      <c r="D128" s="289"/>
      <c r="E128" s="290"/>
      <c r="F128" s="290"/>
      <c r="G128" s="290"/>
      <c r="H128" s="247">
        <v>260</v>
      </c>
      <c r="I128" s="247">
        <v>32</v>
      </c>
      <c r="J128" s="250"/>
      <c r="K128" s="279">
        <f>[2]AMS_raw!G70</f>
        <v>336.6</v>
      </c>
      <c r="L128" s="250">
        <f>[2]AMS_raw!H70</f>
        <v>5.3999999999999999E-2</v>
      </c>
      <c r="M128" s="247">
        <f>[2]AMS_raw!M70</f>
        <v>1.0425</v>
      </c>
      <c r="N128" s="247">
        <f>[2]AMS_raw!N70</f>
        <v>1.0009999999999999</v>
      </c>
      <c r="O128" s="247">
        <f>[2]AMS_raw!O70</f>
        <v>0.95660000000000001</v>
      </c>
      <c r="P128" s="255"/>
      <c r="Q128" s="256"/>
      <c r="R128" s="256"/>
      <c r="S128" s="280">
        <f>[2]AMS_raw!S70</f>
        <v>0.63700000000000001</v>
      </c>
      <c r="T128" s="280">
        <f>[2]AMS_raw!T70</f>
        <v>1.0049999999999999</v>
      </c>
      <c r="U128" s="280">
        <f>[2]AMS_raw!U70</f>
        <v>5.5E-2</v>
      </c>
      <c r="V128" s="256">
        <f t="shared" si="1"/>
        <v>8.2398081534772167</v>
      </c>
      <c r="W128" s="247">
        <f>[2]AMS_raw!V70</f>
        <v>3.4000000000000002E-2</v>
      </c>
      <c r="X128" s="247">
        <f>[2]AMS_raw!AM70</f>
        <v>92</v>
      </c>
      <c r="Y128" s="247">
        <f>[2]AMS_raw!AN70</f>
        <v>57</v>
      </c>
      <c r="Z128" s="282"/>
      <c r="AA128" s="282"/>
      <c r="AB128" s="282"/>
      <c r="AC128" s="247">
        <f>[2]AMS_raw!AQ70</f>
        <v>355</v>
      </c>
      <c r="AD128" s="247">
        <f>[2]AMS_raw!AR70</f>
        <v>4</v>
      </c>
      <c r="AE128" s="261"/>
      <c r="AF128" s="247">
        <f>[2]AMS_raw!AD70</f>
        <v>52</v>
      </c>
      <c r="AG128" s="247">
        <f>[2]AMS_raw!AE70</f>
        <v>89</v>
      </c>
      <c r="AH128" s="247">
        <f>[2]AMS_raw!AG70</f>
        <v>164</v>
      </c>
      <c r="AI128" s="247">
        <f>[2]AMS_raw!AH70</f>
        <v>1</v>
      </c>
      <c r="AJ128" s="247">
        <f>[2]AMS_raw!AJ70</f>
        <v>254</v>
      </c>
      <c r="AK128" s="247">
        <f>[2]AMS_raw!AK70</f>
        <v>1</v>
      </c>
      <c r="AL128" s="298"/>
      <c r="AM128" s="262">
        <f t="shared" si="2"/>
        <v>52</v>
      </c>
      <c r="AN128">
        <f t="shared" si="3"/>
        <v>89</v>
      </c>
      <c r="AO128" t="s">
        <v>1343</v>
      </c>
      <c r="AP128" s="262">
        <f t="shared" si="4"/>
        <v>254</v>
      </c>
      <c r="AQ128">
        <f t="shared" si="5"/>
        <v>1</v>
      </c>
      <c r="AR128" s="7" t="s">
        <v>1345</v>
      </c>
      <c r="AS128" s="7"/>
      <c r="AT128" s="7"/>
      <c r="AU128" s="7"/>
      <c r="AV128" s="302"/>
      <c r="AW128" s="302"/>
      <c r="AX128" s="7"/>
      <c r="AY128" s="7" t="s">
        <v>1377</v>
      </c>
      <c r="AZ128" s="53" t="s">
        <v>1379</v>
      </c>
      <c r="BA128" s="5">
        <f>AVERAGE(AP128:AP130)+90</f>
        <v>341</v>
      </c>
      <c r="BB128" s="5">
        <f>90-AVERAGE(AQ128:AQ130)</f>
        <v>88.333333333333329</v>
      </c>
      <c r="BC128" s="7">
        <v>268.39999999999998</v>
      </c>
      <c r="BD128" s="7" t="s">
        <v>1495</v>
      </c>
      <c r="BE128" s="7" t="s">
        <v>258</v>
      </c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</row>
    <row r="129" spans="1:106" s="283" customFormat="1">
      <c r="A129" s="76" t="s">
        <v>1255</v>
      </c>
      <c r="B129" s="290" t="str">
        <f>[2]AMS_raw!A71</f>
        <v>BB56_2</v>
      </c>
      <c r="C129" s="318"/>
      <c r="D129" s="289"/>
      <c r="E129" s="290"/>
      <c r="F129" s="290"/>
      <c r="G129" s="290"/>
      <c r="H129" s="247">
        <v>260</v>
      </c>
      <c r="I129" s="247">
        <v>32</v>
      </c>
      <c r="J129" s="250"/>
      <c r="K129" s="279">
        <f>[2]AMS_raw!G71</f>
        <v>342.1</v>
      </c>
      <c r="L129" s="250">
        <f>[2]AMS_raw!H71</f>
        <v>4.3999999999999997E-2</v>
      </c>
      <c r="M129" s="247">
        <f>[2]AMS_raw!M71</f>
        <v>1.0444</v>
      </c>
      <c r="N129" s="247">
        <f>[2]AMS_raw!N71</f>
        <v>1.0004999999999999</v>
      </c>
      <c r="O129" s="247">
        <f>[2]AMS_raw!O71</f>
        <v>0.95509999999999995</v>
      </c>
      <c r="P129" s="255"/>
      <c r="Q129" s="256"/>
      <c r="R129" s="256"/>
      <c r="S129" s="280">
        <f>[2]AMS_raw!S71</f>
        <v>0.65100000000000002</v>
      </c>
      <c r="T129" s="280">
        <f>[2]AMS_raw!T71</f>
        <v>1.004</v>
      </c>
      <c r="U129" s="280">
        <f>[2]AMS_raw!U71</f>
        <v>0.04</v>
      </c>
      <c r="V129" s="256">
        <f t="shared" si="1"/>
        <v>8.5503638452700166</v>
      </c>
      <c r="W129" s="247">
        <f>[2]AMS_raw!V71</f>
        <v>1.7000000000000001E-2</v>
      </c>
      <c r="X129" s="247">
        <f>[2]AMS_raw!AM71</f>
        <v>94</v>
      </c>
      <c r="Y129" s="247">
        <f>[2]AMS_raw!AN71</f>
        <v>55</v>
      </c>
      <c r="Z129" s="282"/>
      <c r="AA129" s="282"/>
      <c r="AB129" s="282"/>
      <c r="AC129" s="247">
        <f>[2]AMS_raw!AQ71</f>
        <v>356</v>
      </c>
      <c r="AD129" s="247">
        <f>[2]AMS_raw!AR71</f>
        <v>6</v>
      </c>
      <c r="AE129" s="261"/>
      <c r="AF129" s="247">
        <f>[2]AMS_raw!AD71</f>
        <v>21</v>
      </c>
      <c r="AG129" s="247">
        <f>[2]AMS_raw!AE71</f>
        <v>86</v>
      </c>
      <c r="AH129" s="247">
        <f>[2]AMS_raw!AG71</f>
        <v>164</v>
      </c>
      <c r="AI129" s="247">
        <f>[2]AMS_raw!AH71</f>
        <v>3</v>
      </c>
      <c r="AJ129" s="247">
        <f>[2]AMS_raw!AJ71</f>
        <v>254</v>
      </c>
      <c r="AK129" s="247">
        <f>[2]AMS_raw!AK71</f>
        <v>2</v>
      </c>
      <c r="AL129" s="298"/>
      <c r="AM129" s="262">
        <f t="shared" si="2"/>
        <v>21</v>
      </c>
      <c r="AN129">
        <f t="shared" si="3"/>
        <v>86</v>
      </c>
      <c r="AO129" t="s">
        <v>1343</v>
      </c>
      <c r="AP129" s="262">
        <f t="shared" si="4"/>
        <v>254</v>
      </c>
      <c r="AQ129">
        <f t="shared" si="5"/>
        <v>2</v>
      </c>
      <c r="AR129" s="7" t="s">
        <v>1345</v>
      </c>
      <c r="AS129" s="7"/>
      <c r="AT129" s="7"/>
      <c r="AU129" s="7"/>
      <c r="AV129" s="302"/>
      <c r="AW129" s="302"/>
      <c r="AX129" s="7"/>
      <c r="AY129" s="7" t="s">
        <v>1377</v>
      </c>
      <c r="AZ129" s="53" t="s">
        <v>1379</v>
      </c>
      <c r="BA129" s="66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</row>
    <row r="130" spans="1:106" s="283" customFormat="1">
      <c r="A130" s="76" t="s">
        <v>1255</v>
      </c>
      <c r="B130" s="290" t="str">
        <f>[2]AMS_raw!A72</f>
        <v>BB56_3</v>
      </c>
      <c r="C130" s="318"/>
      <c r="D130" s="289"/>
      <c r="E130" s="290"/>
      <c r="F130" s="290"/>
      <c r="G130" s="290"/>
      <c r="H130" s="247">
        <v>260</v>
      </c>
      <c r="I130" s="247">
        <v>32</v>
      </c>
      <c r="J130" s="250"/>
      <c r="K130" s="279">
        <f>[2]AMS_raw!G72</f>
        <v>360.7</v>
      </c>
      <c r="L130" s="250">
        <f>[2]AMS_raw!H72</f>
        <v>0.04</v>
      </c>
      <c r="M130" s="247">
        <f>[2]AMS_raw!M72</f>
        <v>1.0411999999999999</v>
      </c>
      <c r="N130" s="247">
        <f>[2]AMS_raw!N72</f>
        <v>1.006</v>
      </c>
      <c r="O130" s="247">
        <f>[2]AMS_raw!O72</f>
        <v>0.95279999999999998</v>
      </c>
      <c r="P130" s="255"/>
      <c r="Q130" s="256"/>
      <c r="R130" s="256"/>
      <c r="S130" s="280">
        <f>[2]AMS_raw!S72</f>
        <v>0.497</v>
      </c>
      <c r="T130" s="280">
        <f>[2]AMS_raw!T72</f>
        <v>1.02</v>
      </c>
      <c r="U130" s="280">
        <f>[2]AMS_raw!U72</f>
        <v>0.22500000000000001</v>
      </c>
      <c r="V130" s="256">
        <f t="shared" si="1"/>
        <v>8.4902036112178187</v>
      </c>
      <c r="W130" s="247">
        <f>[2]AMS_raw!V72</f>
        <v>0.20300000000000001</v>
      </c>
      <c r="X130" s="247">
        <f>[2]AMS_raw!AM72</f>
        <v>94</v>
      </c>
      <c r="Y130" s="247">
        <f>[2]AMS_raw!AN72</f>
        <v>59</v>
      </c>
      <c r="Z130" s="282"/>
      <c r="AA130" s="282"/>
      <c r="AB130" s="282"/>
      <c r="AC130" s="247">
        <f>[2]AMS_raw!AQ72</f>
        <v>347</v>
      </c>
      <c r="AD130" s="247">
        <f>[2]AMS_raw!AR72</f>
        <v>10</v>
      </c>
      <c r="AE130" s="261"/>
      <c r="AF130" s="247">
        <f>[2]AMS_raw!AD72</f>
        <v>116</v>
      </c>
      <c r="AG130" s="247">
        <f>[2]AMS_raw!AE72</f>
        <v>88</v>
      </c>
      <c r="AH130" s="247">
        <f>[2]AMS_raw!AG72</f>
        <v>335</v>
      </c>
      <c r="AI130" s="247">
        <f>[2]AMS_raw!AH72</f>
        <v>2</v>
      </c>
      <c r="AJ130" s="247">
        <f>[2]AMS_raw!AJ72</f>
        <v>245</v>
      </c>
      <c r="AK130" s="247">
        <f>[2]AMS_raw!AK72</f>
        <v>2</v>
      </c>
      <c r="AL130" s="298"/>
      <c r="AM130" s="262">
        <f t="shared" si="2"/>
        <v>116</v>
      </c>
      <c r="AN130">
        <f t="shared" si="3"/>
        <v>88</v>
      </c>
      <c r="AO130" t="s">
        <v>1343</v>
      </c>
      <c r="AP130" s="262">
        <f t="shared" si="4"/>
        <v>245</v>
      </c>
      <c r="AQ130">
        <f t="shared" si="5"/>
        <v>2</v>
      </c>
      <c r="AR130" s="7" t="s">
        <v>1345</v>
      </c>
      <c r="AS130" s="7"/>
      <c r="AT130" s="7"/>
      <c r="AU130" s="7"/>
      <c r="AV130" s="302"/>
      <c r="AW130" s="302"/>
      <c r="AX130" s="7"/>
      <c r="AY130" s="7" t="s">
        <v>1400</v>
      </c>
      <c r="AZ130" s="53" t="s">
        <v>1379</v>
      </c>
      <c r="BA130" s="66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</row>
    <row r="131" spans="1:106" s="283" customFormat="1">
      <c r="A131" s="76" t="s">
        <v>1255</v>
      </c>
      <c r="B131" s="290" t="str">
        <f>[2]AMS_raw!A73</f>
        <v>BB57_1</v>
      </c>
      <c r="C131" s="318"/>
      <c r="D131" s="289"/>
      <c r="E131" s="290"/>
      <c r="F131" s="290"/>
      <c r="G131" s="290"/>
      <c r="H131" s="247">
        <v>273</v>
      </c>
      <c r="I131" s="247">
        <v>67</v>
      </c>
      <c r="J131" s="250"/>
      <c r="K131" s="279">
        <f>[2]AMS_raw!G73</f>
        <v>313.10000000000002</v>
      </c>
      <c r="L131" s="250">
        <f>[2]AMS_raw!H73</f>
        <v>5.3999999999999999E-2</v>
      </c>
      <c r="M131" s="247">
        <f>[2]AMS_raw!M73</f>
        <v>1.0385</v>
      </c>
      <c r="N131" s="247">
        <f>[2]AMS_raw!N73</f>
        <v>1.0011000000000001</v>
      </c>
      <c r="O131" s="247">
        <f>[2]AMS_raw!O73</f>
        <v>0.96040000000000003</v>
      </c>
      <c r="P131" s="255"/>
      <c r="Q131" s="256"/>
      <c r="R131" s="256"/>
      <c r="S131" s="280">
        <f>[2]AMS_raw!S73</f>
        <v>0.629</v>
      </c>
      <c r="T131" s="280">
        <f>[2]AMS_raw!T73</f>
        <v>1.0049999999999999</v>
      </c>
      <c r="U131" s="280">
        <f>[2]AMS_raw!U73</f>
        <v>6.3E-2</v>
      </c>
      <c r="V131" s="256">
        <f t="shared" si="1"/>
        <v>7.5204622051035104</v>
      </c>
      <c r="W131" s="247">
        <f>[2]AMS_raw!V73</f>
        <v>4.2999999999999997E-2</v>
      </c>
      <c r="X131" s="247">
        <f>[2]AMS_raw!AM73</f>
        <v>81</v>
      </c>
      <c r="Y131" s="247">
        <f>[2]AMS_raw!AN73</f>
        <v>72</v>
      </c>
      <c r="Z131" s="282"/>
      <c r="AA131" s="282"/>
      <c r="AB131" s="282"/>
      <c r="AC131" s="247">
        <f>[2]AMS_raw!AQ73</f>
        <v>201</v>
      </c>
      <c r="AD131" s="247">
        <f>[2]AMS_raw!AR73</f>
        <v>9</v>
      </c>
      <c r="AE131" s="261"/>
      <c r="AF131" s="247">
        <f>[2]AMS_raw!AD73</f>
        <v>187</v>
      </c>
      <c r="AG131" s="247">
        <f>[2]AMS_raw!AE73</f>
        <v>40</v>
      </c>
      <c r="AH131" s="247">
        <f>[2]AMS_raw!AG73</f>
        <v>37</v>
      </c>
      <c r="AI131" s="247">
        <f>[2]AMS_raw!AH73</f>
        <v>46</v>
      </c>
      <c r="AJ131" s="247">
        <f>[2]AMS_raw!AJ73</f>
        <v>291</v>
      </c>
      <c r="AK131" s="247">
        <f>[2]AMS_raw!AK73</f>
        <v>16</v>
      </c>
      <c r="AL131" s="298"/>
      <c r="AM131" s="262">
        <f t="shared" si="2"/>
        <v>187</v>
      </c>
      <c r="AN131">
        <f t="shared" si="3"/>
        <v>40</v>
      </c>
      <c r="AO131" s="283" t="s">
        <v>1368</v>
      </c>
      <c r="AP131" s="262">
        <f t="shared" si="4"/>
        <v>291</v>
      </c>
      <c r="AQ131">
        <f t="shared" si="5"/>
        <v>16</v>
      </c>
      <c r="AR131" s="7" t="s">
        <v>1369</v>
      </c>
      <c r="AS131" s="7"/>
      <c r="AT131" s="7"/>
      <c r="AU131" s="7"/>
      <c r="AV131" s="302"/>
      <c r="AW131" s="302"/>
      <c r="AX131" s="7"/>
      <c r="AY131" s="7" t="s">
        <v>1377</v>
      </c>
      <c r="AZ131" s="53" t="s">
        <v>1446</v>
      </c>
      <c r="BA131" s="5">
        <f>AVERAGE(AP131:AP133)+90-360</f>
        <v>17.333333333333314</v>
      </c>
      <c r="BB131" s="5">
        <f>90-AVERAGE(AQ131:AQ133)</f>
        <v>75.333333333333329</v>
      </c>
      <c r="BC131" s="7">
        <v>267.39999999999998</v>
      </c>
      <c r="BD131" s="7" t="s">
        <v>1496</v>
      </c>
      <c r="BE131" s="7" t="s">
        <v>1500</v>
      </c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</row>
    <row r="132" spans="1:106" s="283" customFormat="1">
      <c r="A132" s="76" t="s">
        <v>1255</v>
      </c>
      <c r="B132" s="290" t="str">
        <f>[2]AMS_raw!A74</f>
        <v>BB57_2</v>
      </c>
      <c r="C132" s="318"/>
      <c r="D132" s="289"/>
      <c r="E132" s="290"/>
      <c r="F132" s="290"/>
      <c r="G132" s="290"/>
      <c r="H132" s="247">
        <v>273</v>
      </c>
      <c r="I132" s="247">
        <v>67</v>
      </c>
      <c r="J132" s="250"/>
      <c r="K132" s="279">
        <f>[2]AMS_raw!G74</f>
        <v>356.9</v>
      </c>
      <c r="L132" s="250">
        <f>[2]AMS_raw!H74</f>
        <v>6.9000000000000006E-2</v>
      </c>
      <c r="M132" s="247">
        <f>[2]AMS_raw!M74</f>
        <v>1.0421</v>
      </c>
      <c r="N132" s="247">
        <f>[2]AMS_raw!N74</f>
        <v>1.0001</v>
      </c>
      <c r="O132" s="247">
        <f>[2]AMS_raw!O74</f>
        <v>0.95789999999999997</v>
      </c>
      <c r="P132" s="255"/>
      <c r="Q132" s="256"/>
      <c r="R132" s="256"/>
      <c r="S132" s="280">
        <f>[2]AMS_raw!S74</f>
        <v>0.66500000000000004</v>
      </c>
      <c r="T132" s="280">
        <f>[2]AMS_raw!T74</f>
        <v>1.002</v>
      </c>
      <c r="U132" s="280">
        <f>[2]AMS_raw!U74</f>
        <v>2.3E-2</v>
      </c>
      <c r="V132" s="256">
        <f t="shared" si="1"/>
        <v>8.0798387870645865</v>
      </c>
      <c r="W132" s="247">
        <f>[2]AMS_raw!V74</f>
        <v>2E-3</v>
      </c>
      <c r="X132" s="247">
        <f>[2]AMS_raw!AM74</f>
        <v>97</v>
      </c>
      <c r="Y132" s="247">
        <f>[2]AMS_raw!AN74</f>
        <v>68</v>
      </c>
      <c r="Z132" s="282"/>
      <c r="AA132" s="282"/>
      <c r="AB132" s="282"/>
      <c r="AC132" s="247">
        <f>[2]AMS_raw!AQ74</f>
        <v>198</v>
      </c>
      <c r="AD132" s="247">
        <f>[2]AMS_raw!AR74</f>
        <v>5</v>
      </c>
      <c r="AE132" s="261"/>
      <c r="AF132" s="247">
        <f>[2]AMS_raw!AD74</f>
        <v>180</v>
      </c>
      <c r="AG132" s="247">
        <f>[2]AMS_raw!AE74</f>
        <v>45</v>
      </c>
      <c r="AH132" s="247">
        <f>[2]AMS_raw!AG74</f>
        <v>29</v>
      </c>
      <c r="AI132" s="247">
        <f>[2]AMS_raw!AH74</f>
        <v>42</v>
      </c>
      <c r="AJ132" s="247">
        <f>[2]AMS_raw!AJ74</f>
        <v>285</v>
      </c>
      <c r="AK132" s="247">
        <f>[2]AMS_raw!AK74</f>
        <v>15</v>
      </c>
      <c r="AL132" s="298"/>
      <c r="AM132" s="262">
        <f t="shared" si="2"/>
        <v>180</v>
      </c>
      <c r="AN132">
        <f t="shared" si="3"/>
        <v>45</v>
      </c>
      <c r="AO132" s="283" t="s">
        <v>1368</v>
      </c>
      <c r="AP132" s="262">
        <f t="shared" si="4"/>
        <v>285</v>
      </c>
      <c r="AQ132">
        <f t="shared" si="5"/>
        <v>15</v>
      </c>
      <c r="AR132" s="7" t="s">
        <v>1369</v>
      </c>
      <c r="AS132" s="7"/>
      <c r="AT132" s="7"/>
      <c r="AU132" s="7"/>
      <c r="AV132" s="302"/>
      <c r="AW132" s="302"/>
      <c r="AX132" s="7"/>
      <c r="AY132" s="7" t="s">
        <v>1377</v>
      </c>
      <c r="AZ132" s="53" t="s">
        <v>1446</v>
      </c>
      <c r="BA132" s="66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</row>
    <row r="133" spans="1:106" s="283" customFormat="1">
      <c r="A133" s="76" t="s">
        <v>1255</v>
      </c>
      <c r="B133" s="290" t="str">
        <f>[2]AMS_raw!A75</f>
        <v>BB57_3</v>
      </c>
      <c r="C133" s="318"/>
      <c r="D133" s="289"/>
      <c r="E133" s="290"/>
      <c r="F133" s="290"/>
      <c r="G133" s="290"/>
      <c r="H133" s="247">
        <v>273</v>
      </c>
      <c r="I133" s="247">
        <v>67</v>
      </c>
      <c r="J133" s="250"/>
      <c r="K133" s="279">
        <f>[2]AMS_raw!G75</f>
        <v>352.5</v>
      </c>
      <c r="L133" s="250">
        <f>[2]AMS_raw!H75</f>
        <v>0.06</v>
      </c>
      <c r="M133" s="247">
        <f>[2]AMS_raw!M75</f>
        <v>1.0411999999999999</v>
      </c>
      <c r="N133" s="247">
        <f>[2]AMS_raw!N75</f>
        <v>0.99729999999999996</v>
      </c>
      <c r="O133" s="247">
        <f>[2]AMS_raw!O75</f>
        <v>0.96140000000000003</v>
      </c>
      <c r="P133" s="255"/>
      <c r="Q133" s="256"/>
      <c r="R133" s="256"/>
      <c r="S133" s="280">
        <f>[2]AMS_raw!S75</f>
        <v>0.75900000000000001</v>
      </c>
      <c r="T133" s="280">
        <f>[2]AMS_raw!T75</f>
        <v>0.99399999999999999</v>
      </c>
      <c r="U133" s="281">
        <f>[2]AMS_raw!U75</f>
        <v>-8.1000000000000003E-2</v>
      </c>
      <c r="V133" s="256">
        <f t="shared" si="1"/>
        <v>7.6642335766423244</v>
      </c>
      <c r="W133" s="247">
        <f>[2]AMS_raw!V75</f>
        <v>-0.10100000000000001</v>
      </c>
      <c r="X133" s="247">
        <f>[2]AMS_raw!AM75</f>
        <v>91</v>
      </c>
      <c r="Y133" s="247">
        <f>[2]AMS_raw!AN75</f>
        <v>69</v>
      </c>
      <c r="Z133" s="282"/>
      <c r="AA133" s="282"/>
      <c r="AB133" s="282"/>
      <c r="AC133" s="247">
        <f>[2]AMS_raw!AQ75</f>
        <v>197</v>
      </c>
      <c r="AD133" s="247">
        <f>[2]AMS_raw!AR75</f>
        <v>6</v>
      </c>
      <c r="AE133" s="261"/>
      <c r="AF133" s="247">
        <f>[2]AMS_raw!AD75</f>
        <v>183</v>
      </c>
      <c r="AG133" s="247">
        <f>[2]AMS_raw!AE75</f>
        <v>44</v>
      </c>
      <c r="AH133" s="247">
        <f>[2]AMS_raw!AG75</f>
        <v>28</v>
      </c>
      <c r="AI133" s="247">
        <f>[2]AMS_raw!AH75</f>
        <v>43</v>
      </c>
      <c r="AJ133" s="247">
        <f>[2]AMS_raw!AJ75</f>
        <v>286</v>
      </c>
      <c r="AK133" s="247">
        <f>[2]AMS_raw!AK75</f>
        <v>13</v>
      </c>
      <c r="AL133" s="298"/>
      <c r="AM133" s="262">
        <f t="shared" si="2"/>
        <v>183</v>
      </c>
      <c r="AN133">
        <f t="shared" si="3"/>
        <v>44</v>
      </c>
      <c r="AO133" s="283" t="s">
        <v>1368</v>
      </c>
      <c r="AP133" s="262">
        <f t="shared" si="4"/>
        <v>286</v>
      </c>
      <c r="AQ133">
        <f t="shared" si="5"/>
        <v>13</v>
      </c>
      <c r="AR133" s="7" t="s">
        <v>1369</v>
      </c>
      <c r="AS133" s="7"/>
      <c r="AT133" s="7"/>
      <c r="AU133" s="7"/>
      <c r="AV133" s="302"/>
      <c r="AW133" s="302"/>
      <c r="AX133" s="7"/>
      <c r="AY133" s="7" t="s">
        <v>1377</v>
      </c>
      <c r="AZ133" s="53" t="s">
        <v>1446</v>
      </c>
      <c r="BA133" s="66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</row>
    <row r="134" spans="1:106" s="283" customFormat="1">
      <c r="A134" s="76" t="s">
        <v>1255</v>
      </c>
      <c r="B134" s="290" t="str">
        <f>[2]AMS_raw!A76</f>
        <v>BB60_1</v>
      </c>
      <c r="C134" s="318"/>
      <c r="D134" s="289"/>
      <c r="E134" s="290"/>
      <c r="F134" s="290"/>
      <c r="G134" s="290"/>
      <c r="H134" s="247">
        <v>110</v>
      </c>
      <c r="I134" s="247">
        <v>62</v>
      </c>
      <c r="J134" s="250"/>
      <c r="K134" s="279">
        <f>[2]AMS_raw!G76</f>
        <v>413</v>
      </c>
      <c r="L134" s="250">
        <f>[2]AMS_raw!H76</f>
        <v>0.06</v>
      </c>
      <c r="M134" s="247">
        <f>[2]AMS_raw!M76</f>
        <v>1.0498000000000001</v>
      </c>
      <c r="N134" s="247">
        <f>[2]AMS_raw!N76</f>
        <v>0.99129999999999996</v>
      </c>
      <c r="O134" s="247">
        <f>[2]AMS_raw!O76</f>
        <v>0.95889999999999997</v>
      </c>
      <c r="P134" s="255"/>
      <c r="Q134" s="256"/>
      <c r="R134" s="256"/>
      <c r="S134" s="280">
        <f>[2]AMS_raw!S76</f>
        <v>0.94899999999999995</v>
      </c>
      <c r="T134" s="280">
        <f>[2]AMS_raw!T76</f>
        <v>0.97599999999999998</v>
      </c>
      <c r="U134" s="281">
        <f>[2]AMS_raw!U76</f>
        <v>-0.26600000000000001</v>
      </c>
      <c r="V134" s="256">
        <f t="shared" si="1"/>
        <v>8.6587921508858905</v>
      </c>
      <c r="W134" s="247">
        <f>[2]AMS_raw!V76</f>
        <v>-0.28699999999999998</v>
      </c>
      <c r="X134" s="247">
        <f>[2]AMS_raw!AM76</f>
        <v>276</v>
      </c>
      <c r="Y134" s="247">
        <f>[2]AMS_raw!AN76</f>
        <v>68</v>
      </c>
      <c r="Z134" s="282"/>
      <c r="AA134" s="282"/>
      <c r="AB134" s="282"/>
      <c r="AC134" s="247">
        <f>[2]AMS_raw!AQ76</f>
        <v>99</v>
      </c>
      <c r="AD134" s="247">
        <f>[2]AMS_raw!AR76</f>
        <v>22</v>
      </c>
      <c r="AE134" s="261"/>
      <c r="AF134" s="247">
        <f>[2]AMS_raw!AD76</f>
        <v>23</v>
      </c>
      <c r="AG134" s="247">
        <f>[2]AMS_raw!AE76</f>
        <v>6</v>
      </c>
      <c r="AH134" s="247">
        <f>[2]AMS_raw!AG76</f>
        <v>114</v>
      </c>
      <c r="AI134" s="247">
        <f>[2]AMS_raw!AH76</f>
        <v>8</v>
      </c>
      <c r="AJ134" s="247">
        <f>[2]AMS_raw!AJ76</f>
        <v>257</v>
      </c>
      <c r="AK134" s="247">
        <f>[2]AMS_raw!AK76</f>
        <v>80</v>
      </c>
      <c r="AL134" s="298"/>
      <c r="AM134" s="262">
        <f t="shared" si="2"/>
        <v>23</v>
      </c>
      <c r="AN134">
        <f t="shared" si="3"/>
        <v>6</v>
      </c>
      <c r="AO134" t="s">
        <v>1343</v>
      </c>
      <c r="AP134" s="262">
        <f t="shared" si="4"/>
        <v>257</v>
      </c>
      <c r="AQ134">
        <f t="shared" si="5"/>
        <v>80</v>
      </c>
      <c r="AR134" s="7" t="s">
        <v>1345</v>
      </c>
      <c r="AS134" s="7"/>
      <c r="AT134" s="7"/>
      <c r="AU134" s="7"/>
      <c r="AV134" s="302"/>
      <c r="AW134" s="302"/>
      <c r="AX134" s="7"/>
      <c r="AY134" s="7" t="s">
        <v>103</v>
      </c>
      <c r="AZ134" s="53" t="s">
        <v>1382</v>
      </c>
      <c r="BA134" s="5">
        <f>AVERAGE(AP134:AP136)+90</f>
        <v>337</v>
      </c>
      <c r="BB134" s="5">
        <f>90-AVERAGE(AQ134:AQ136)</f>
        <v>8.3333333333333286</v>
      </c>
      <c r="BC134" s="7">
        <v>267.39999999999998</v>
      </c>
      <c r="BD134" s="7">
        <v>32</v>
      </c>
      <c r="BE134" s="7" t="s">
        <v>258</v>
      </c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</row>
    <row r="135" spans="1:106" s="283" customFormat="1">
      <c r="A135" s="76" t="s">
        <v>1255</v>
      </c>
      <c r="B135" s="290" t="str">
        <f>[2]AMS_raw!A77</f>
        <v>BB60_2</v>
      </c>
      <c r="C135" s="318"/>
      <c r="D135" s="289"/>
      <c r="E135" s="290"/>
      <c r="F135" s="290"/>
      <c r="G135" s="290"/>
      <c r="H135" s="247">
        <v>110</v>
      </c>
      <c r="I135" s="247">
        <v>62</v>
      </c>
      <c r="J135" s="250"/>
      <c r="K135" s="279">
        <f>[2]AMS_raw!G77</f>
        <v>403.7</v>
      </c>
      <c r="L135" s="250">
        <f>[2]AMS_raw!H77</f>
        <v>4.3999999999999997E-2</v>
      </c>
      <c r="M135" s="247">
        <f>[2]AMS_raw!M77</f>
        <v>1.0461</v>
      </c>
      <c r="N135" s="247">
        <f>[2]AMS_raw!N77</f>
        <v>0.99150000000000005</v>
      </c>
      <c r="O135" s="247">
        <f>[2]AMS_raw!O77</f>
        <v>0.96240000000000003</v>
      </c>
      <c r="P135" s="255"/>
      <c r="Q135" s="256"/>
      <c r="R135" s="256"/>
      <c r="S135" s="280">
        <f>[2]AMS_raw!S77</f>
        <v>0.96699999999999997</v>
      </c>
      <c r="T135" s="280">
        <f>[2]AMS_raw!T77</f>
        <v>0.97699999999999998</v>
      </c>
      <c r="U135" s="281">
        <f>[2]AMS_raw!U77</f>
        <v>-0.28499999999999998</v>
      </c>
      <c r="V135" s="256">
        <f t="shared" si="1"/>
        <v>8.0011471178663598</v>
      </c>
      <c r="W135" s="247">
        <f>[2]AMS_raw!V77</f>
        <v>-0.30399999999999999</v>
      </c>
      <c r="X135" s="247">
        <f>[2]AMS_raw!AM77</f>
        <v>271</v>
      </c>
      <c r="Y135" s="247">
        <f>[2]AMS_raw!AN77</f>
        <v>66</v>
      </c>
      <c r="Z135" s="282"/>
      <c r="AA135" s="282"/>
      <c r="AB135" s="282"/>
      <c r="AC135" s="247">
        <f>[2]AMS_raw!AQ77</f>
        <v>95</v>
      </c>
      <c r="AD135" s="247">
        <f>[2]AMS_raw!AR77</f>
        <v>23</v>
      </c>
      <c r="AE135" s="261"/>
      <c r="AF135" s="247">
        <f>[2]AMS_raw!AD77</f>
        <v>21</v>
      </c>
      <c r="AG135" s="247">
        <f>[2]AMS_raw!AE77</f>
        <v>4</v>
      </c>
      <c r="AH135" s="247">
        <f>[2]AMS_raw!AG77</f>
        <v>111</v>
      </c>
      <c r="AI135" s="247">
        <f>[2]AMS_raw!AH77</f>
        <v>5</v>
      </c>
      <c r="AJ135" s="247">
        <f>[2]AMS_raw!AJ77</f>
        <v>248</v>
      </c>
      <c r="AK135" s="247">
        <f>[2]AMS_raw!AK77</f>
        <v>83</v>
      </c>
      <c r="AL135" s="298"/>
      <c r="AM135" s="262">
        <f t="shared" si="2"/>
        <v>21</v>
      </c>
      <c r="AN135">
        <f t="shared" si="3"/>
        <v>4</v>
      </c>
      <c r="AO135" t="s">
        <v>1343</v>
      </c>
      <c r="AP135" s="262">
        <f t="shared" si="4"/>
        <v>248</v>
      </c>
      <c r="AQ135">
        <f t="shared" si="5"/>
        <v>83</v>
      </c>
      <c r="AR135" s="7" t="s">
        <v>1345</v>
      </c>
      <c r="AS135" s="7"/>
      <c r="AT135" s="7"/>
      <c r="AU135" s="7"/>
      <c r="AV135" s="302"/>
      <c r="AW135" s="302"/>
      <c r="AX135" s="7"/>
      <c r="AY135" s="7" t="s">
        <v>103</v>
      </c>
      <c r="AZ135" s="53" t="s">
        <v>1382</v>
      </c>
      <c r="BA135" s="66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</row>
    <row r="136" spans="1:106" s="283" customFormat="1">
      <c r="A136" s="76" t="s">
        <v>1255</v>
      </c>
      <c r="B136" s="290" t="str">
        <f>[2]AMS_raw!A78</f>
        <v>BB60_3</v>
      </c>
      <c r="C136" s="318"/>
      <c r="D136" s="289"/>
      <c r="E136" s="290"/>
      <c r="F136" s="290"/>
      <c r="G136" s="290"/>
      <c r="H136" s="247">
        <v>110</v>
      </c>
      <c r="I136" s="247">
        <v>62</v>
      </c>
      <c r="J136" s="250"/>
      <c r="K136" s="279">
        <f>[2]AMS_raw!G78</f>
        <v>402.5</v>
      </c>
      <c r="L136" s="250">
        <f>[2]AMS_raw!H78</f>
        <v>3.7999999999999999E-2</v>
      </c>
      <c r="M136" s="247">
        <f>[2]AMS_raw!M78</f>
        <v>1.0486</v>
      </c>
      <c r="N136" s="247">
        <f>[2]AMS_raw!N78</f>
        <v>0.99209999999999998</v>
      </c>
      <c r="O136" s="247">
        <f>[2]AMS_raw!O78</f>
        <v>0.95920000000000005</v>
      </c>
      <c r="P136" s="255"/>
      <c r="Q136" s="256"/>
      <c r="R136" s="256"/>
      <c r="S136" s="280">
        <f>[2]AMS_raw!S78</f>
        <v>0.92400000000000004</v>
      </c>
      <c r="T136" s="280">
        <f>[2]AMS_raw!T78</f>
        <v>0.97899999999999998</v>
      </c>
      <c r="U136" s="281">
        <f>[2]AMS_raw!U78</f>
        <v>-0.24299999999999999</v>
      </c>
      <c r="V136" s="256">
        <f t="shared" si="1"/>
        <v>8.5256532519549797</v>
      </c>
      <c r="W136" s="247">
        <f>[2]AMS_raw!V78</f>
        <v>-0.26400000000000001</v>
      </c>
      <c r="X136" s="247">
        <f>[2]AMS_raw!AM78</f>
        <v>268</v>
      </c>
      <c r="Y136" s="247">
        <f>[2]AMS_raw!AN78</f>
        <v>68</v>
      </c>
      <c r="Z136" s="282"/>
      <c r="AA136" s="282"/>
      <c r="AB136" s="282"/>
      <c r="AC136" s="247">
        <f>[2]AMS_raw!AQ78</f>
        <v>95</v>
      </c>
      <c r="AD136" s="247">
        <f>[2]AMS_raw!AR78</f>
        <v>22</v>
      </c>
      <c r="AE136" s="261"/>
      <c r="AF136" s="247">
        <f>[2]AMS_raw!AD78</f>
        <v>20</v>
      </c>
      <c r="AG136" s="247">
        <f>[2]AMS_raw!AE78</f>
        <v>6</v>
      </c>
      <c r="AH136" s="247">
        <f>[2]AMS_raw!AG78</f>
        <v>110</v>
      </c>
      <c r="AI136" s="247">
        <f>[2]AMS_raw!AH78</f>
        <v>4</v>
      </c>
      <c r="AJ136" s="247">
        <f>[2]AMS_raw!AJ78</f>
        <v>236</v>
      </c>
      <c r="AK136" s="247">
        <f>[2]AMS_raw!AK78</f>
        <v>82</v>
      </c>
      <c r="AL136" s="298"/>
      <c r="AM136" s="262">
        <f t="shared" si="2"/>
        <v>20</v>
      </c>
      <c r="AN136">
        <f t="shared" si="3"/>
        <v>6</v>
      </c>
      <c r="AO136" t="s">
        <v>1343</v>
      </c>
      <c r="AP136" s="262">
        <f t="shared" si="4"/>
        <v>236</v>
      </c>
      <c r="AQ136">
        <f t="shared" si="5"/>
        <v>82</v>
      </c>
      <c r="AR136" s="7" t="s">
        <v>1345</v>
      </c>
      <c r="AS136" s="7"/>
      <c r="AT136" s="7"/>
      <c r="AU136" s="7"/>
      <c r="AV136" s="302"/>
      <c r="AW136" s="302"/>
      <c r="AX136" s="7"/>
      <c r="AY136" s="7" t="s">
        <v>103</v>
      </c>
      <c r="AZ136" s="53" t="s">
        <v>1382</v>
      </c>
      <c r="BA136" s="66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</row>
    <row r="137" spans="1:106" s="321" customFormat="1">
      <c r="A137" s="321" t="s">
        <v>1447</v>
      </c>
      <c r="B137" s="322" t="s">
        <v>1448</v>
      </c>
      <c r="C137" s="349">
        <v>21.722000000000001</v>
      </c>
      <c r="D137" s="323">
        <v>3</v>
      </c>
      <c r="E137" s="324">
        <v>0</v>
      </c>
      <c r="F137" s="324">
        <v>3</v>
      </c>
      <c r="G137" s="324">
        <v>90</v>
      </c>
      <c r="H137" s="325">
        <v>296.39999999999998</v>
      </c>
      <c r="I137" s="326">
        <v>42</v>
      </c>
      <c r="J137" s="250">
        <f t="shared" si="0"/>
        <v>116.39999999999998</v>
      </c>
      <c r="K137" s="251">
        <f>504.2</f>
        <v>504.2</v>
      </c>
      <c r="L137" s="327">
        <v>4.0000000000000001E-3</v>
      </c>
      <c r="M137" s="328">
        <v>1.0085</v>
      </c>
      <c r="N137" s="329">
        <v>0.99980000000000002</v>
      </c>
      <c r="O137" s="329">
        <v>0.99170000000000003</v>
      </c>
      <c r="P137" s="330">
        <v>1.0169999999999999</v>
      </c>
      <c r="Q137" s="331">
        <v>1.0089999999999999</v>
      </c>
      <c r="R137" s="331">
        <v>1.008</v>
      </c>
      <c r="S137" s="257">
        <v>0.69799999999999995</v>
      </c>
      <c r="T137" s="257">
        <v>0.999</v>
      </c>
      <c r="U137" s="258">
        <v>-3.1E-2</v>
      </c>
      <c r="V137" s="331">
        <f t="shared" si="1"/>
        <v>1.6658403569657836</v>
      </c>
      <c r="W137" s="327">
        <v>-3.5000000000000003E-2</v>
      </c>
      <c r="X137" s="332">
        <v>185</v>
      </c>
      <c r="Y137" s="332">
        <v>18</v>
      </c>
      <c r="Z137" s="333">
        <v>0.5</v>
      </c>
      <c r="AA137" s="333">
        <v>281</v>
      </c>
      <c r="AB137" s="333">
        <v>16</v>
      </c>
      <c r="AC137" s="332">
        <v>48</v>
      </c>
      <c r="AD137" s="332">
        <v>66</v>
      </c>
      <c r="AE137" s="334">
        <v>0.2</v>
      </c>
      <c r="AF137" s="321">
        <v>132.19999999999999</v>
      </c>
      <c r="AG137" s="321">
        <v>10</v>
      </c>
      <c r="AJ137" s="321">
        <v>241.5</v>
      </c>
      <c r="AK137" s="321">
        <v>61.8</v>
      </c>
      <c r="AL137" s="332"/>
      <c r="AM137" s="336">
        <f t="shared" si="2"/>
        <v>132.19999999999999</v>
      </c>
      <c r="AN137" s="321">
        <f t="shared" si="3"/>
        <v>10</v>
      </c>
      <c r="AO137" s="321" t="s">
        <v>1393</v>
      </c>
      <c r="AP137" s="336">
        <f t="shared" si="4"/>
        <v>241.5</v>
      </c>
      <c r="AQ137" s="321">
        <f t="shared" si="5"/>
        <v>61.8</v>
      </c>
      <c r="AR137" s="321" t="s">
        <v>1394</v>
      </c>
      <c r="AS137" s="321">
        <v>61.5</v>
      </c>
      <c r="AT137" s="321">
        <v>61.8</v>
      </c>
      <c r="AV137" s="332">
        <v>132.19999999999999</v>
      </c>
      <c r="AW137" s="332">
        <v>10</v>
      </c>
      <c r="AX137" s="321" t="s">
        <v>1449</v>
      </c>
      <c r="AY137" s="7" t="s">
        <v>1377</v>
      </c>
      <c r="AZ137" s="7"/>
      <c r="BA137" s="66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</row>
    <row r="138" spans="1:106" s="321" customFormat="1">
      <c r="A138" s="321" t="s">
        <v>1447</v>
      </c>
      <c r="B138" s="322" t="s">
        <v>1450</v>
      </c>
      <c r="C138" s="349">
        <v>20.954000000000001</v>
      </c>
      <c r="D138" s="323">
        <v>3</v>
      </c>
      <c r="E138" s="324">
        <v>0</v>
      </c>
      <c r="F138" s="324">
        <v>3</v>
      </c>
      <c r="G138" s="324">
        <v>90</v>
      </c>
      <c r="H138" s="325">
        <v>296.39999999999998</v>
      </c>
      <c r="I138" s="326">
        <v>42</v>
      </c>
      <c r="J138" s="250">
        <f t="shared" si="0"/>
        <v>116.39999999999998</v>
      </c>
      <c r="K138" s="251">
        <f>517.8</f>
        <v>517.79999999999995</v>
      </c>
      <c r="L138" s="327">
        <v>8.0000000000000002E-3</v>
      </c>
      <c r="M138" s="328">
        <v>1.0099</v>
      </c>
      <c r="N138" s="329">
        <v>0.99829999999999997</v>
      </c>
      <c r="O138" s="329">
        <v>0.9919</v>
      </c>
      <c r="P138" s="330">
        <v>1.018</v>
      </c>
      <c r="Q138" s="331">
        <v>1.012</v>
      </c>
      <c r="R138" s="331">
        <v>1.006</v>
      </c>
      <c r="S138" s="257">
        <v>0.95199999999999996</v>
      </c>
      <c r="T138" s="257">
        <v>0.995</v>
      </c>
      <c r="U138" s="258">
        <v>-0.28599999999999998</v>
      </c>
      <c r="V138" s="331">
        <f t="shared" si="1"/>
        <v>1.7823546885830295</v>
      </c>
      <c r="W138" s="327">
        <v>-0.28999999999999998</v>
      </c>
      <c r="X138" s="332">
        <v>186</v>
      </c>
      <c r="Y138" s="332">
        <v>19</v>
      </c>
      <c r="Z138" s="333">
        <v>0.96899999999999997</v>
      </c>
      <c r="AA138" s="333">
        <v>287</v>
      </c>
      <c r="AB138" s="333">
        <v>30</v>
      </c>
      <c r="AC138" s="332">
        <v>69</v>
      </c>
      <c r="AD138" s="332">
        <v>54</v>
      </c>
      <c r="AE138" s="332">
        <v>0.5</v>
      </c>
      <c r="AF138" s="321">
        <v>133.6</v>
      </c>
      <c r="AG138" s="321">
        <v>10.1</v>
      </c>
      <c r="AJ138" s="321">
        <v>264</v>
      </c>
      <c r="AK138" s="321">
        <v>75.599999999999994</v>
      </c>
      <c r="AL138" s="332"/>
      <c r="AM138" s="336">
        <f t="shared" si="2"/>
        <v>133.6</v>
      </c>
      <c r="AN138" s="321">
        <f t="shared" si="3"/>
        <v>10.1</v>
      </c>
      <c r="AO138" s="321" t="s">
        <v>1393</v>
      </c>
      <c r="AP138" s="336">
        <f t="shared" si="4"/>
        <v>264</v>
      </c>
      <c r="AQ138" s="321">
        <f t="shared" si="5"/>
        <v>75.599999999999994</v>
      </c>
      <c r="AR138" s="321" t="s">
        <v>1394</v>
      </c>
      <c r="AS138" s="321">
        <v>84</v>
      </c>
      <c r="AT138" s="321">
        <v>75.599999999999994</v>
      </c>
      <c r="AV138" s="332">
        <v>133.6</v>
      </c>
      <c r="AW138" s="332">
        <v>10.1</v>
      </c>
      <c r="AX138" s="321" t="s">
        <v>1449</v>
      </c>
      <c r="AY138" s="7" t="s">
        <v>103</v>
      </c>
      <c r="AZ138" s="7"/>
      <c r="BA138" s="66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</row>
    <row r="139" spans="1:106" s="321" customFormat="1">
      <c r="A139" s="321" t="s">
        <v>1447</v>
      </c>
      <c r="B139" s="322" t="s">
        <v>1451</v>
      </c>
      <c r="C139" s="337"/>
      <c r="D139" s="323">
        <v>3</v>
      </c>
      <c r="E139" s="324">
        <v>0</v>
      </c>
      <c r="F139" s="324">
        <v>3</v>
      </c>
      <c r="G139" s="324">
        <v>90</v>
      </c>
      <c r="H139" s="325">
        <v>296.39999999999998</v>
      </c>
      <c r="I139" s="326">
        <v>42</v>
      </c>
      <c r="J139" s="250">
        <f t="shared" si="0"/>
        <v>116.39999999999998</v>
      </c>
      <c r="K139" s="251">
        <f>520.4</f>
        <v>520.4</v>
      </c>
      <c r="L139" s="327">
        <v>5.0000000000000001E-3</v>
      </c>
      <c r="M139" s="328">
        <v>1.0089999999999999</v>
      </c>
      <c r="N139" s="329">
        <v>1</v>
      </c>
      <c r="O139" s="329">
        <v>0.99099999999999999</v>
      </c>
      <c r="P139" s="330">
        <v>1.018</v>
      </c>
      <c r="Q139" s="331">
        <v>1.0089999999999999</v>
      </c>
      <c r="R139" s="331">
        <v>1.0089999999999999</v>
      </c>
      <c r="S139" s="257">
        <v>0.66600000000000004</v>
      </c>
      <c r="T139" s="257">
        <v>1</v>
      </c>
      <c r="U139" s="257">
        <v>5.0000000000000001E-3</v>
      </c>
      <c r="V139" s="331">
        <f t="shared" si="1"/>
        <v>1.7839444995044507</v>
      </c>
      <c r="W139" s="327">
        <v>0</v>
      </c>
      <c r="X139" s="332">
        <v>185</v>
      </c>
      <c r="Y139" s="332">
        <v>19</v>
      </c>
      <c r="Z139" s="333">
        <v>0.7</v>
      </c>
      <c r="AA139" s="333">
        <v>282</v>
      </c>
      <c r="AB139" s="333">
        <v>20</v>
      </c>
      <c r="AC139" s="332">
        <v>54</v>
      </c>
      <c r="AD139" s="332">
        <v>62</v>
      </c>
      <c r="AE139" s="334">
        <v>0.3</v>
      </c>
      <c r="AF139" s="321">
        <v>132.9</v>
      </c>
      <c r="AG139" s="321">
        <v>10.8</v>
      </c>
      <c r="AJ139" s="321">
        <v>248.2</v>
      </c>
      <c r="AK139" s="321">
        <v>65.5</v>
      </c>
      <c r="AL139" s="332"/>
      <c r="AM139" s="336">
        <f t="shared" si="2"/>
        <v>132.9</v>
      </c>
      <c r="AN139" s="321">
        <f t="shared" si="3"/>
        <v>10.8</v>
      </c>
      <c r="AO139" s="321" t="s">
        <v>1393</v>
      </c>
      <c r="AP139" s="336">
        <f t="shared" si="4"/>
        <v>248.2</v>
      </c>
      <c r="AQ139" s="321">
        <f t="shared" si="5"/>
        <v>65.5</v>
      </c>
      <c r="AR139" s="321" t="s">
        <v>1394</v>
      </c>
      <c r="AS139" s="321">
        <v>68.2</v>
      </c>
      <c r="AT139" s="321">
        <v>65.5</v>
      </c>
      <c r="AV139" s="332">
        <v>132.9</v>
      </c>
      <c r="AW139" s="332">
        <v>10.8</v>
      </c>
      <c r="AX139" s="321" t="s">
        <v>1449</v>
      </c>
      <c r="AY139" s="7" t="s">
        <v>1377</v>
      </c>
      <c r="AZ139" s="7"/>
      <c r="BA139" s="66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</row>
    <row r="140" spans="1:106" s="321" customFormat="1">
      <c r="A140" s="321" t="s">
        <v>1447</v>
      </c>
      <c r="B140" s="338" t="s">
        <v>1452</v>
      </c>
      <c r="C140" s="339"/>
      <c r="D140" s="340">
        <v>3</v>
      </c>
      <c r="E140" s="338">
        <v>0</v>
      </c>
      <c r="F140" s="338">
        <v>3</v>
      </c>
      <c r="G140" s="338">
        <v>90</v>
      </c>
      <c r="H140" s="325">
        <v>296.39999999999998</v>
      </c>
      <c r="I140" s="326">
        <v>42</v>
      </c>
      <c r="J140" s="250">
        <f t="shared" si="0"/>
        <v>116.39999999999998</v>
      </c>
      <c r="K140" s="267">
        <f>537.7</f>
        <v>537.70000000000005</v>
      </c>
      <c r="L140" s="341">
        <v>5.0000000000000001E-3</v>
      </c>
      <c r="M140" s="342">
        <v>1.0098</v>
      </c>
      <c r="N140" s="343">
        <v>0.99929999999999997</v>
      </c>
      <c r="O140" s="343">
        <v>0.99080000000000001</v>
      </c>
      <c r="P140" s="344">
        <v>1.0189999999999999</v>
      </c>
      <c r="Q140" s="345">
        <v>1.0109999999999999</v>
      </c>
      <c r="R140" s="345">
        <v>1.0089999999999999</v>
      </c>
      <c r="S140" s="273">
        <v>0.76500000000000001</v>
      </c>
      <c r="T140" s="273">
        <v>0.998</v>
      </c>
      <c r="U140" s="274">
        <v>-0.10199999999999999</v>
      </c>
      <c r="V140" s="331">
        <f t="shared" si="1"/>
        <v>1.8815607050901184</v>
      </c>
      <c r="W140" s="341">
        <v>-0.107</v>
      </c>
      <c r="X140" s="346">
        <v>186</v>
      </c>
      <c r="Y140" s="346">
        <v>19</v>
      </c>
      <c r="Z140" s="347">
        <v>0.6</v>
      </c>
      <c r="AA140" s="333">
        <v>283</v>
      </c>
      <c r="AB140" s="333">
        <v>22</v>
      </c>
      <c r="AC140" s="346">
        <v>59</v>
      </c>
      <c r="AD140" s="346">
        <v>61</v>
      </c>
      <c r="AE140" s="348">
        <v>0.3</v>
      </c>
      <c r="AF140" s="321">
        <v>133.6</v>
      </c>
      <c r="AG140" s="321">
        <v>10.1</v>
      </c>
      <c r="AJ140" s="321">
        <v>248.5</v>
      </c>
      <c r="AK140" s="321">
        <v>68.099999999999994</v>
      </c>
      <c r="AL140" s="332"/>
      <c r="AM140" s="336">
        <f t="shared" si="2"/>
        <v>133.6</v>
      </c>
      <c r="AN140" s="321">
        <f t="shared" si="3"/>
        <v>10.1</v>
      </c>
      <c r="AO140" s="321" t="s">
        <v>1393</v>
      </c>
      <c r="AP140" s="336">
        <f t="shared" si="4"/>
        <v>248.5</v>
      </c>
      <c r="AQ140" s="321">
        <f t="shared" si="5"/>
        <v>68.099999999999994</v>
      </c>
      <c r="AR140" s="321" t="s">
        <v>1394</v>
      </c>
      <c r="AS140" s="321">
        <v>68.5</v>
      </c>
      <c r="AT140" s="321">
        <v>68.099999999999994</v>
      </c>
      <c r="AV140" s="346">
        <v>133.6</v>
      </c>
      <c r="AW140" s="346">
        <v>10.1</v>
      </c>
      <c r="AX140" s="321" t="s">
        <v>1449</v>
      </c>
      <c r="AY140" s="7" t="s">
        <v>1377</v>
      </c>
      <c r="AZ140" s="7"/>
      <c r="BA140" s="66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</row>
    <row r="141" spans="1:106" s="321" customFormat="1">
      <c r="A141" s="321" t="s">
        <v>1447</v>
      </c>
      <c r="B141" s="322" t="s">
        <v>1453</v>
      </c>
      <c r="C141" s="349">
        <v>24.567</v>
      </c>
      <c r="D141" s="323">
        <v>3</v>
      </c>
      <c r="E141" s="324">
        <v>0</v>
      </c>
      <c r="F141" s="324">
        <v>3</v>
      </c>
      <c r="G141" s="324">
        <v>90</v>
      </c>
      <c r="H141" s="325">
        <v>304.39999999999998</v>
      </c>
      <c r="I141" s="326">
        <v>47</v>
      </c>
      <c r="J141" s="250">
        <f t="shared" si="0"/>
        <v>124.39999999999998</v>
      </c>
      <c r="K141" s="251">
        <f>577</f>
        <v>577</v>
      </c>
      <c r="L141" s="327">
        <v>4.0000000000000001E-3</v>
      </c>
      <c r="M141" s="328">
        <v>1.0098</v>
      </c>
      <c r="N141" s="329">
        <v>0.99909999999999999</v>
      </c>
      <c r="O141" s="329">
        <v>0.99109999999999998</v>
      </c>
      <c r="P141" s="330">
        <v>1.0189999999999999</v>
      </c>
      <c r="Q141" s="331">
        <v>1.0109999999999999</v>
      </c>
      <c r="R141" s="331">
        <v>1.008</v>
      </c>
      <c r="S141" s="257">
        <v>0.80600000000000005</v>
      </c>
      <c r="T141" s="257">
        <v>0.997</v>
      </c>
      <c r="U141" s="258">
        <v>-0.14499999999999999</v>
      </c>
      <c r="V141" s="331">
        <f t="shared" si="1"/>
        <v>1.8518518518518567</v>
      </c>
      <c r="W141" s="327">
        <v>-0.14899999999999999</v>
      </c>
      <c r="X141" s="332">
        <v>180</v>
      </c>
      <c r="Y141" s="332">
        <v>13</v>
      </c>
      <c r="Z141" s="333">
        <v>0.4</v>
      </c>
      <c r="AA141" s="333">
        <v>276</v>
      </c>
      <c r="AB141" s="333">
        <v>23</v>
      </c>
      <c r="AC141" s="332">
        <v>63</v>
      </c>
      <c r="AD141" s="332">
        <v>64</v>
      </c>
      <c r="AE141" s="334">
        <v>0.2</v>
      </c>
      <c r="AF141" s="321">
        <v>134</v>
      </c>
      <c r="AG141" s="321">
        <v>8.8000000000000007</v>
      </c>
      <c r="AJ141" s="321">
        <v>241.4</v>
      </c>
      <c r="AK141" s="321">
        <v>64</v>
      </c>
      <c r="AL141" s="332"/>
      <c r="AM141" s="336">
        <f t="shared" si="2"/>
        <v>134</v>
      </c>
      <c r="AN141" s="321">
        <f t="shared" si="3"/>
        <v>8.8000000000000007</v>
      </c>
      <c r="AO141" s="321" t="s">
        <v>1393</v>
      </c>
      <c r="AP141" s="336">
        <f t="shared" si="4"/>
        <v>241.4</v>
      </c>
      <c r="AQ141" s="321">
        <f t="shared" si="5"/>
        <v>64</v>
      </c>
      <c r="AR141" s="321" t="s">
        <v>1394</v>
      </c>
      <c r="AS141" s="321">
        <v>61.4</v>
      </c>
      <c r="AT141" s="321">
        <v>64</v>
      </c>
      <c r="AV141" s="332">
        <v>134</v>
      </c>
      <c r="AW141" s="332">
        <v>8.8000000000000007</v>
      </c>
      <c r="AX141" s="321" t="s">
        <v>1449</v>
      </c>
      <c r="AY141" s="7" t="s">
        <v>103</v>
      </c>
      <c r="AZ141" s="7"/>
      <c r="BA141" s="66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</row>
    <row r="142" spans="1:106" s="321" customFormat="1">
      <c r="A142" s="321" t="s">
        <v>1447</v>
      </c>
      <c r="B142" s="322" t="s">
        <v>1454</v>
      </c>
      <c r="C142" s="349">
        <v>24.834</v>
      </c>
      <c r="D142" s="323">
        <v>3</v>
      </c>
      <c r="E142" s="324">
        <v>0</v>
      </c>
      <c r="F142" s="324">
        <v>3</v>
      </c>
      <c r="G142" s="324">
        <v>90</v>
      </c>
      <c r="H142" s="325">
        <v>304.39999999999998</v>
      </c>
      <c r="I142" s="326">
        <v>47</v>
      </c>
      <c r="J142" s="250">
        <f t="shared" si="0"/>
        <v>124.39999999999998</v>
      </c>
      <c r="K142" s="251">
        <f>549.6</f>
        <v>549.6</v>
      </c>
      <c r="L142" s="327">
        <v>7.0000000000000001E-3</v>
      </c>
      <c r="M142" s="328">
        <v>1.0096000000000001</v>
      </c>
      <c r="N142" s="329">
        <v>0.999</v>
      </c>
      <c r="O142" s="329">
        <v>0.99139999999999995</v>
      </c>
      <c r="P142" s="330">
        <v>1.018</v>
      </c>
      <c r="Q142" s="331">
        <v>1.0109999999999999</v>
      </c>
      <c r="R142" s="331">
        <v>1.008</v>
      </c>
      <c r="S142" s="257">
        <v>0.82699999999999996</v>
      </c>
      <c r="T142" s="257">
        <v>0.997</v>
      </c>
      <c r="U142" s="258">
        <v>-0.16600000000000001</v>
      </c>
      <c r="V142" s="331">
        <f t="shared" si="1"/>
        <v>1.8026941362916109</v>
      </c>
      <c r="W142" s="327">
        <v>-0.17</v>
      </c>
      <c r="X142" s="332">
        <v>183</v>
      </c>
      <c r="Y142" s="332">
        <v>12</v>
      </c>
      <c r="Z142" s="333">
        <v>0.9</v>
      </c>
      <c r="AA142" s="333">
        <v>283</v>
      </c>
      <c r="AB142" s="333">
        <v>41</v>
      </c>
      <c r="AC142" s="332">
        <v>80</v>
      </c>
      <c r="AD142" s="332">
        <v>47</v>
      </c>
      <c r="AE142" s="334">
        <v>0.5</v>
      </c>
      <c r="AF142" s="321">
        <v>135.19999999999999</v>
      </c>
      <c r="AG142" s="321">
        <v>6</v>
      </c>
      <c r="AJ142" s="321">
        <v>271.39999999999998</v>
      </c>
      <c r="AK142" s="321">
        <v>81.900000000000006</v>
      </c>
      <c r="AL142" s="332"/>
      <c r="AM142" s="336">
        <f t="shared" si="2"/>
        <v>135.19999999999999</v>
      </c>
      <c r="AN142" s="321">
        <f t="shared" si="3"/>
        <v>6</v>
      </c>
      <c r="AO142" s="321" t="s">
        <v>1393</v>
      </c>
      <c r="AP142" s="336">
        <f t="shared" si="4"/>
        <v>271.39999999999998</v>
      </c>
      <c r="AQ142" s="321">
        <f t="shared" si="5"/>
        <v>81.900000000000006</v>
      </c>
      <c r="AR142" s="321" t="s">
        <v>1394</v>
      </c>
      <c r="AS142" s="321">
        <v>91.4</v>
      </c>
      <c r="AT142" s="321">
        <v>81.900000000000006</v>
      </c>
      <c r="AV142" s="332">
        <v>135.19999999999999</v>
      </c>
      <c r="AW142" s="332">
        <v>6</v>
      </c>
      <c r="AX142" s="321" t="s">
        <v>1449</v>
      </c>
      <c r="AY142" s="7" t="s">
        <v>103</v>
      </c>
      <c r="AZ142" s="7"/>
      <c r="BA142" s="66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</row>
    <row r="143" spans="1:106" s="321" customFormat="1">
      <c r="A143" s="321" t="s">
        <v>1447</v>
      </c>
      <c r="B143" s="322" t="s">
        <v>1455</v>
      </c>
      <c r="C143" s="337"/>
      <c r="D143" s="323">
        <v>3</v>
      </c>
      <c r="E143" s="324">
        <v>0</v>
      </c>
      <c r="F143" s="324">
        <v>3</v>
      </c>
      <c r="G143" s="324">
        <v>90</v>
      </c>
      <c r="H143" s="325">
        <v>304.39999999999998</v>
      </c>
      <c r="I143" s="326">
        <v>47</v>
      </c>
      <c r="J143" s="250">
        <f t="shared" si="0"/>
        <v>124.39999999999998</v>
      </c>
      <c r="K143" s="251">
        <f>552.1</f>
        <v>552.1</v>
      </c>
      <c r="L143" s="327">
        <v>8.0000000000000002E-3</v>
      </c>
      <c r="M143" s="328">
        <v>1.0099</v>
      </c>
      <c r="N143" s="329">
        <v>0.99839999999999995</v>
      </c>
      <c r="O143" s="329">
        <v>0.99170000000000003</v>
      </c>
      <c r="P143" s="330">
        <v>1.018</v>
      </c>
      <c r="Q143" s="331">
        <v>1.012</v>
      </c>
      <c r="R143" s="331">
        <v>1.0069999999999999</v>
      </c>
      <c r="S143" s="257">
        <v>0.92700000000000005</v>
      </c>
      <c r="T143" s="257">
        <v>0.995</v>
      </c>
      <c r="U143" s="258">
        <v>-0.26200000000000001</v>
      </c>
      <c r="V143" s="331">
        <f t="shared" si="1"/>
        <v>1.8021586295672833</v>
      </c>
      <c r="W143" s="327">
        <v>-0.26600000000000001</v>
      </c>
      <c r="X143" s="332">
        <v>182</v>
      </c>
      <c r="Y143" s="332">
        <v>12</v>
      </c>
      <c r="Z143" s="333">
        <v>0.9</v>
      </c>
      <c r="AA143" s="333">
        <v>279</v>
      </c>
      <c r="AB143" s="333">
        <v>33</v>
      </c>
      <c r="AC143" s="332">
        <v>75</v>
      </c>
      <c r="AD143" s="332">
        <v>54</v>
      </c>
      <c r="AE143" s="334">
        <v>0.6</v>
      </c>
      <c r="AF143" s="321">
        <v>134.6</v>
      </c>
      <c r="AG143" s="321">
        <v>6.7</v>
      </c>
      <c r="AJ143" s="321">
        <v>251.1</v>
      </c>
      <c r="AK143" s="321">
        <v>75.2</v>
      </c>
      <c r="AL143" s="332"/>
      <c r="AM143" s="336">
        <f t="shared" si="2"/>
        <v>134.6</v>
      </c>
      <c r="AN143" s="321">
        <f t="shared" si="3"/>
        <v>6.7</v>
      </c>
      <c r="AO143" s="321" t="s">
        <v>1393</v>
      </c>
      <c r="AP143" s="336">
        <f t="shared" si="4"/>
        <v>251.1</v>
      </c>
      <c r="AQ143" s="321">
        <f t="shared" si="5"/>
        <v>75.2</v>
      </c>
      <c r="AR143" s="321" t="s">
        <v>1394</v>
      </c>
      <c r="AS143" s="321">
        <v>71.099999999999994</v>
      </c>
      <c r="AT143" s="321">
        <v>75.2</v>
      </c>
      <c r="AV143" s="332">
        <v>134.6</v>
      </c>
      <c r="AW143" s="332">
        <v>6.7</v>
      </c>
      <c r="AX143" s="321" t="s">
        <v>1449</v>
      </c>
      <c r="AY143" s="7" t="s">
        <v>103</v>
      </c>
      <c r="AZ143" s="7"/>
      <c r="BA143" s="66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</row>
    <row r="144" spans="1:106" s="321" customFormat="1">
      <c r="A144" s="321" t="s">
        <v>1447</v>
      </c>
      <c r="B144" s="338" t="s">
        <v>1456</v>
      </c>
      <c r="C144" s="339"/>
      <c r="D144" s="340">
        <v>3</v>
      </c>
      <c r="E144" s="338">
        <v>0</v>
      </c>
      <c r="F144" s="338">
        <v>3</v>
      </c>
      <c r="G144" s="338">
        <v>90</v>
      </c>
      <c r="H144" s="325">
        <v>304.39999999999998</v>
      </c>
      <c r="I144" s="326">
        <v>47</v>
      </c>
      <c r="J144" s="250">
        <f t="shared" si="0"/>
        <v>124.39999999999998</v>
      </c>
      <c r="K144" s="267">
        <f>570.3</f>
        <v>570.29999999999995</v>
      </c>
      <c r="L144" s="341">
        <v>8.0000000000000002E-3</v>
      </c>
      <c r="M144" s="342">
        <v>1.0094000000000001</v>
      </c>
      <c r="N144" s="343">
        <v>0.99860000000000004</v>
      </c>
      <c r="O144" s="343">
        <v>0.99199999999999999</v>
      </c>
      <c r="P144" s="344">
        <v>1.018</v>
      </c>
      <c r="Q144" s="345">
        <v>1.0109999999999999</v>
      </c>
      <c r="R144" s="345">
        <v>1.0069999999999999</v>
      </c>
      <c r="S144" s="273">
        <v>0.90300000000000002</v>
      </c>
      <c r="T144" s="273">
        <v>0.996</v>
      </c>
      <c r="U144" s="274">
        <v>-0.24</v>
      </c>
      <c r="V144" s="331">
        <f t="shared" si="1"/>
        <v>1.7237963146423698</v>
      </c>
      <c r="W144" s="341">
        <v>-0.224</v>
      </c>
      <c r="X144" s="346">
        <v>182</v>
      </c>
      <c r="Y144" s="346">
        <v>10</v>
      </c>
      <c r="Z144" s="347">
        <v>0.9</v>
      </c>
      <c r="AA144" s="333">
        <v>280</v>
      </c>
      <c r="AB144" s="333">
        <v>39</v>
      </c>
      <c r="AC144" s="346">
        <v>80</v>
      </c>
      <c r="AD144" s="346">
        <v>49</v>
      </c>
      <c r="AE144" s="348">
        <v>0.6</v>
      </c>
      <c r="AF144" s="321">
        <v>133.1</v>
      </c>
      <c r="AG144" s="321">
        <v>5.4</v>
      </c>
      <c r="AJ144" s="321">
        <v>260.10000000000002</v>
      </c>
      <c r="AK144" s="321">
        <v>80.8</v>
      </c>
      <c r="AL144" s="332"/>
      <c r="AM144" s="336">
        <f t="shared" si="2"/>
        <v>133.1</v>
      </c>
      <c r="AN144" s="321">
        <f t="shared" si="3"/>
        <v>5.4</v>
      </c>
      <c r="AO144" s="321" t="s">
        <v>1393</v>
      </c>
      <c r="AP144" s="432">
        <f t="shared" si="4"/>
        <v>260.10000000000002</v>
      </c>
      <c r="AQ144" s="433">
        <f t="shared" si="5"/>
        <v>80.8</v>
      </c>
      <c r="AR144" s="321" t="s">
        <v>1394</v>
      </c>
      <c r="AS144" s="321">
        <v>80.099999999999994</v>
      </c>
      <c r="AT144" s="321">
        <v>80.8</v>
      </c>
      <c r="AV144" s="346">
        <v>133.1</v>
      </c>
      <c r="AW144" s="346">
        <v>5.4</v>
      </c>
      <c r="AX144" s="321" t="s">
        <v>1449</v>
      </c>
      <c r="AY144" s="7" t="s">
        <v>103</v>
      </c>
      <c r="AZ144" s="7"/>
      <c r="BA144" s="66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</row>
    <row r="145" spans="1:57" s="7" customFormat="1">
      <c r="A145" t="s">
        <v>1288</v>
      </c>
      <c r="B145" s="280" t="str">
        <f>[2]AMS_raw!A79</f>
        <v>BB63_1</v>
      </c>
      <c r="C145" s="434"/>
      <c r="D145" s="435"/>
      <c r="E145" s="280"/>
      <c r="F145" s="280"/>
      <c r="G145" s="280"/>
      <c r="H145" s="247">
        <v>303</v>
      </c>
      <c r="I145" s="247">
        <v>98</v>
      </c>
      <c r="J145" s="250"/>
      <c r="K145" s="284">
        <f>[2]AMS_raw!G79</f>
        <v>167.2</v>
      </c>
      <c r="L145" s="250">
        <f>[2]AMS_raw!H79</f>
        <v>0.128</v>
      </c>
      <c r="M145" s="247">
        <f>[2]AMS_raw!M79</f>
        <v>1.0248999999999999</v>
      </c>
      <c r="N145" s="247">
        <f>[2]AMS_raw!N79</f>
        <v>0.99129999999999996</v>
      </c>
      <c r="O145" s="247">
        <f>[2]AMS_raw!O79</f>
        <v>0.98380000000000001</v>
      </c>
      <c r="P145" s="255"/>
      <c r="Q145" s="256"/>
      <c r="R145" s="256"/>
      <c r="S145" s="280">
        <f>[2]AMS_raw!S79</f>
        <v>1.385</v>
      </c>
      <c r="T145" s="280">
        <f>[2]AMS_raw!T79</f>
        <v>0.97499999999999998</v>
      </c>
      <c r="U145" s="281">
        <f>[2]AMS_raw!U79</f>
        <v>-0.63</v>
      </c>
      <c r="V145" s="256">
        <f t="shared" si="1"/>
        <v>4.0101473314469622</v>
      </c>
      <c r="W145" s="247">
        <f>[2]AMS_raw!V79</f>
        <v>-0.63600000000000001</v>
      </c>
      <c r="X145" s="247">
        <f>[2]AMS_raw!AM79</f>
        <v>107</v>
      </c>
      <c r="Y145" s="247">
        <f>[2]AMS_raw!AN79</f>
        <v>58</v>
      </c>
      <c r="Z145" s="282"/>
      <c r="AA145" s="282"/>
      <c r="AB145" s="282"/>
      <c r="AC145" s="247">
        <f>[2]AMS_raw!AQ79</f>
        <v>325</v>
      </c>
      <c r="AD145" s="247">
        <f>[2]AMS_raw!AR79</f>
        <v>26</v>
      </c>
      <c r="AE145" s="261"/>
      <c r="AF145" s="247">
        <f>[2]AMS_raw!AD79</f>
        <v>204</v>
      </c>
      <c r="AG145" s="247">
        <f>[2]AMS_raw!AE79</f>
        <v>22</v>
      </c>
      <c r="AH145" s="247">
        <f>[2]AMS_raw!AG79</f>
        <v>319</v>
      </c>
      <c r="AI145" s="247">
        <f>[2]AMS_raw!AH79</f>
        <v>46</v>
      </c>
      <c r="AJ145" s="247">
        <f>[2]AMS_raw!AJ79</f>
        <v>97</v>
      </c>
      <c r="AK145" s="247">
        <f>[2]AMS_raw!AK79</f>
        <v>35</v>
      </c>
      <c r="AL145" s="302"/>
      <c r="AM145" s="262">
        <f t="shared" si="2"/>
        <v>204</v>
      </c>
      <c r="AN145" s="7">
        <f t="shared" si="3"/>
        <v>22</v>
      </c>
      <c r="AO145" s="7" t="s">
        <v>1449</v>
      </c>
      <c r="AP145" s="262">
        <f t="shared" si="4"/>
        <v>97</v>
      </c>
      <c r="AQ145" s="7">
        <f t="shared" si="5"/>
        <v>35</v>
      </c>
      <c r="AR145" s="7" t="s">
        <v>1457</v>
      </c>
      <c r="AV145" s="302"/>
      <c r="AW145" s="302"/>
      <c r="AY145" s="7" t="s">
        <v>103</v>
      </c>
      <c r="AZ145" s="7" t="s">
        <v>1382</v>
      </c>
      <c r="BA145" s="129">
        <f>AVERAGE(AP145,AP147)+90</f>
        <v>192</v>
      </c>
      <c r="BB145" s="129">
        <f>90-AVERAGE(AQ145,AQ147)</f>
        <v>49.5</v>
      </c>
      <c r="BC145" s="7">
        <v>269.39999999999998</v>
      </c>
      <c r="BD145" s="7" t="s">
        <v>1497</v>
      </c>
      <c r="BE145" s="7" t="s">
        <v>1500</v>
      </c>
    </row>
    <row r="146" spans="1:57" s="7" customFormat="1">
      <c r="A146" t="s">
        <v>1288</v>
      </c>
      <c r="B146" s="280" t="str">
        <f>[2]AMS_raw!A80</f>
        <v>BB63_2</v>
      </c>
      <c r="C146" s="434"/>
      <c r="D146" s="435"/>
      <c r="E146" s="280"/>
      <c r="F146" s="280"/>
      <c r="G146" s="280"/>
      <c r="H146" s="247">
        <v>303</v>
      </c>
      <c r="I146" s="247">
        <v>98</v>
      </c>
      <c r="J146" s="250"/>
      <c r="K146" s="284">
        <f>[2]AMS_raw!G80</f>
        <v>189.1</v>
      </c>
      <c r="L146" s="250">
        <f>[2]AMS_raw!H80</f>
        <v>0.222</v>
      </c>
      <c r="M146" s="247">
        <f>[2]AMS_raw!M80</f>
        <v>1.0264</v>
      </c>
      <c r="N146" s="247">
        <f>[2]AMS_raw!N80</f>
        <v>0.98770000000000002</v>
      </c>
      <c r="O146" s="247">
        <f>[2]AMS_raw!O80</f>
        <v>0.98580000000000001</v>
      </c>
      <c r="P146" s="255"/>
      <c r="Q146" s="256"/>
      <c r="R146" s="256"/>
      <c r="S146" s="280">
        <f>[2]AMS_raw!S80</f>
        <v>1.82</v>
      </c>
      <c r="T146" s="280">
        <f>[2]AMS_raw!T80</f>
        <v>0.96399999999999997</v>
      </c>
      <c r="U146" s="281">
        <f>[2]AMS_raw!U80</f>
        <v>-0.90400000000000003</v>
      </c>
      <c r="V146" s="256">
        <f t="shared" si="1"/>
        <v>3.9555728760717042</v>
      </c>
      <c r="W146" s="247">
        <f>[2]AMS_raw!V80</f>
        <v>-0.90600000000000003</v>
      </c>
      <c r="X146" s="247">
        <f>[2]AMS_raw!AM80</f>
        <v>105</v>
      </c>
      <c r="Y146" s="247">
        <f>[2]AMS_raw!AN80</f>
        <v>68</v>
      </c>
      <c r="Z146" s="282"/>
      <c r="AA146" s="282"/>
      <c r="AB146" s="282"/>
      <c r="AC146" s="247">
        <f>[2]AMS_raw!AQ80</f>
        <v>221</v>
      </c>
      <c r="AD146" s="247">
        <f>[2]AMS_raw!AR80</f>
        <v>10</v>
      </c>
      <c r="AE146" s="261"/>
      <c r="AF146" s="247">
        <f>[2]AMS_raw!AD80</f>
        <v>208</v>
      </c>
      <c r="AG146" s="247">
        <f>[2]AMS_raw!AE80</f>
        <v>13</v>
      </c>
      <c r="AH146" s="247">
        <f>[2]AMS_raw!AG80</f>
        <v>104</v>
      </c>
      <c r="AI146" s="247">
        <f>[2]AMS_raw!AH80</f>
        <v>45</v>
      </c>
      <c r="AJ146" s="247">
        <f>[2]AMS_raw!AJ80</f>
        <v>310</v>
      </c>
      <c r="AK146" s="247">
        <f>[2]AMS_raw!AK80</f>
        <v>42</v>
      </c>
      <c r="AL146" s="302"/>
      <c r="AM146" s="262">
        <f t="shared" si="2"/>
        <v>208</v>
      </c>
      <c r="AN146" s="7">
        <f t="shared" si="3"/>
        <v>13</v>
      </c>
      <c r="AO146" s="7" t="s">
        <v>1449</v>
      </c>
      <c r="AP146" s="262">
        <f t="shared" si="4"/>
        <v>310</v>
      </c>
      <c r="AQ146" s="7">
        <f t="shared" si="5"/>
        <v>42</v>
      </c>
      <c r="AR146" s="7" t="s">
        <v>1457</v>
      </c>
      <c r="AV146" s="302"/>
      <c r="AW146" s="302"/>
      <c r="AY146" s="7" t="s">
        <v>103</v>
      </c>
      <c r="AZ146" s="7" t="s">
        <v>1382</v>
      </c>
      <c r="BA146" s="66"/>
    </row>
    <row r="147" spans="1:57" s="7" customFormat="1">
      <c r="A147" t="s">
        <v>1288</v>
      </c>
      <c r="B147" s="280" t="str">
        <f>[2]AMS_raw!A81</f>
        <v>BB63_3</v>
      </c>
      <c r="C147" s="434"/>
      <c r="D147" s="435"/>
      <c r="E147" s="280"/>
      <c r="F147" s="280"/>
      <c r="G147" s="280"/>
      <c r="H147" s="247">
        <v>303</v>
      </c>
      <c r="I147" s="247">
        <v>98</v>
      </c>
      <c r="J147" s="250"/>
      <c r="K147" s="284">
        <f>[2]AMS_raw!G81</f>
        <v>140.9</v>
      </c>
      <c r="L147" s="250">
        <f>[2]AMS_raw!H81</f>
        <v>0.16800000000000001</v>
      </c>
      <c r="M147" s="247">
        <f>[2]AMS_raw!M81</f>
        <v>1.024</v>
      </c>
      <c r="N147" s="247">
        <f>[2]AMS_raw!N81</f>
        <v>0.99319999999999997</v>
      </c>
      <c r="O147" s="247">
        <f>[2]AMS_raw!O81</f>
        <v>0.98280000000000001</v>
      </c>
      <c r="P147" s="255"/>
      <c r="Q147" s="256"/>
      <c r="R147" s="256"/>
      <c r="S147" s="280">
        <f>[2]AMS_raw!S81</f>
        <v>1.198</v>
      </c>
      <c r="T147" s="280">
        <f>[2]AMS_raw!T81</f>
        <v>0.98</v>
      </c>
      <c r="U147" s="281">
        <f>[2]AMS_raw!U81</f>
        <v>-0.49099999999999999</v>
      </c>
      <c r="V147" s="256">
        <f t="shared" si="1"/>
        <v>4.0234375000000009</v>
      </c>
      <c r="W147" s="247">
        <f>[2]AMS_raw!V81</f>
        <v>-0.499</v>
      </c>
      <c r="X147" s="247">
        <f>[2]AMS_raw!AM81</f>
        <v>81</v>
      </c>
      <c r="Y147" s="247">
        <f>[2]AMS_raw!AN81</f>
        <v>62</v>
      </c>
      <c r="Z147" s="282"/>
      <c r="AA147" s="282"/>
      <c r="AB147" s="282"/>
      <c r="AC147" s="247">
        <f>[2]AMS_raw!AQ81</f>
        <v>314</v>
      </c>
      <c r="AD147" s="247">
        <f>[2]AMS_raw!AR81</f>
        <v>17</v>
      </c>
      <c r="AE147" s="261"/>
      <c r="AF147" s="247">
        <f>[2]AMS_raw!AD81</f>
        <v>218</v>
      </c>
      <c r="AG147" s="247">
        <f>[2]AMS_raw!AE81</f>
        <v>19</v>
      </c>
      <c r="AH147" s="247">
        <f>[2]AMS_raw!AG81</f>
        <v>324</v>
      </c>
      <c r="AI147" s="247">
        <f>[2]AMS_raw!AH81</f>
        <v>38</v>
      </c>
      <c r="AJ147" s="247">
        <f>[2]AMS_raw!AJ81</f>
        <v>107</v>
      </c>
      <c r="AK147" s="247">
        <f>[2]AMS_raw!AK81</f>
        <v>46</v>
      </c>
      <c r="AL147" s="302"/>
      <c r="AM147" s="262">
        <f t="shared" si="2"/>
        <v>218</v>
      </c>
      <c r="AN147" s="7">
        <f t="shared" si="3"/>
        <v>19</v>
      </c>
      <c r="AO147" s="7" t="s">
        <v>1449</v>
      </c>
      <c r="AP147" s="262">
        <f t="shared" si="4"/>
        <v>107</v>
      </c>
      <c r="AQ147" s="7">
        <f t="shared" si="5"/>
        <v>46</v>
      </c>
      <c r="AR147" s="7" t="s">
        <v>1457</v>
      </c>
      <c r="AV147" s="302"/>
      <c r="AW147" s="302"/>
      <c r="AY147" s="7" t="s">
        <v>103</v>
      </c>
      <c r="AZ147" s="7" t="s">
        <v>1382</v>
      </c>
      <c r="BA147" s="66"/>
    </row>
    <row r="148" spans="1:57" s="7" customFormat="1">
      <c r="A148" t="s">
        <v>1288</v>
      </c>
      <c r="B148" s="280" t="str">
        <f>[2]AMS_raw!A82</f>
        <v>BB64_1</v>
      </c>
      <c r="C148" s="434"/>
      <c r="D148" s="435"/>
      <c r="E148" s="280"/>
      <c r="F148" s="280"/>
      <c r="G148" s="280"/>
      <c r="H148" s="247">
        <v>282</v>
      </c>
      <c r="I148" s="247">
        <v>23</v>
      </c>
      <c r="J148" s="250"/>
      <c r="K148" s="284">
        <f>[2]AMS_raw!G82</f>
        <v>149</v>
      </c>
      <c r="L148" s="250">
        <f>[2]AMS_raw!H82</f>
        <v>0.16</v>
      </c>
      <c r="M148" s="247">
        <f>[2]AMS_raw!M82</f>
        <v>1.0244</v>
      </c>
      <c r="N148" s="247">
        <f>[2]AMS_raw!N82</f>
        <v>0.99260000000000004</v>
      </c>
      <c r="O148" s="247">
        <f>[2]AMS_raw!O82</f>
        <v>0.98299999999999998</v>
      </c>
      <c r="P148" s="255"/>
      <c r="Q148" s="256"/>
      <c r="R148" s="256"/>
      <c r="S148" s="280">
        <f>[2]AMS_raw!S82</f>
        <v>1.248</v>
      </c>
      <c r="T148" s="280">
        <f>[2]AMS_raw!T82</f>
        <v>0.97799999999999998</v>
      </c>
      <c r="U148" s="281">
        <f>[2]AMS_raw!U82</f>
        <v>-0.52900000000000003</v>
      </c>
      <c r="V148" s="256">
        <f t="shared" si="1"/>
        <v>4.0413900819992179</v>
      </c>
      <c r="W148" s="247">
        <f>[2]AMS_raw!V82</f>
        <v>-0.53700000000000003</v>
      </c>
      <c r="X148" s="247">
        <f>[2]AMS_raw!AM82</f>
        <v>105</v>
      </c>
      <c r="Y148" s="247">
        <f>[2]AMS_raw!AN82</f>
        <v>73</v>
      </c>
      <c r="Z148" s="282"/>
      <c r="AA148" s="282"/>
      <c r="AB148" s="282"/>
      <c r="AC148" s="247">
        <f>[2]AMS_raw!AQ82</f>
        <v>342</v>
      </c>
      <c r="AD148" s="247">
        <f>[2]AMS_raw!AR82</f>
        <v>9</v>
      </c>
      <c r="AE148" s="261"/>
      <c r="AF148" s="247">
        <f>[2]AMS_raw!AD82</f>
        <v>161</v>
      </c>
      <c r="AG148" s="247">
        <f>[2]AMS_raw!AE82</f>
        <v>82</v>
      </c>
      <c r="AH148" s="247">
        <f>[2]AMS_raw!AG82</f>
        <v>352</v>
      </c>
      <c r="AI148" s="247">
        <f>[2]AMS_raw!AH82</f>
        <v>8</v>
      </c>
      <c r="AJ148" s="247">
        <f>[2]AMS_raw!AJ82</f>
        <v>262</v>
      </c>
      <c r="AK148" s="247">
        <f>[2]AMS_raw!AK82</f>
        <v>2</v>
      </c>
      <c r="AL148" s="302"/>
      <c r="AM148" s="262">
        <f t="shared" si="2"/>
        <v>161</v>
      </c>
      <c r="AN148" s="7">
        <f t="shared" si="3"/>
        <v>82</v>
      </c>
      <c r="AO148" s="7" t="s">
        <v>1449</v>
      </c>
      <c r="AP148" s="262">
        <f t="shared" si="4"/>
        <v>262</v>
      </c>
      <c r="AQ148" s="7">
        <f t="shared" si="5"/>
        <v>2</v>
      </c>
      <c r="AR148" s="7" t="s">
        <v>1457</v>
      </c>
      <c r="AV148" s="302"/>
      <c r="AW148" s="302"/>
      <c r="AY148" s="7" t="s">
        <v>103</v>
      </c>
      <c r="AZ148" s="7" t="s">
        <v>1379</v>
      </c>
      <c r="BA148" s="5">
        <f>AVERAGE(AP148:AP150)+90</f>
        <v>343.33333333333337</v>
      </c>
      <c r="BB148" s="5">
        <f>90-AVERAGE(AQ148:AQ150)</f>
        <v>86</v>
      </c>
      <c r="BC148" s="7">
        <v>269.39999999999998</v>
      </c>
      <c r="BD148" s="7" t="s">
        <v>1497</v>
      </c>
      <c r="BE148" s="7" t="s">
        <v>1500</v>
      </c>
    </row>
    <row r="149" spans="1:57" s="7" customFormat="1">
      <c r="A149" t="s">
        <v>1288</v>
      </c>
      <c r="B149" s="280" t="str">
        <f>[2]AMS_raw!A83</f>
        <v>BB64_2</v>
      </c>
      <c r="C149" s="434"/>
      <c r="D149" s="435"/>
      <c r="E149" s="280"/>
      <c r="F149" s="280"/>
      <c r="G149" s="280"/>
      <c r="H149" s="247">
        <v>282</v>
      </c>
      <c r="I149" s="247">
        <v>23</v>
      </c>
      <c r="J149" s="250"/>
      <c r="K149" s="284">
        <f>[2]AMS_raw!G83</f>
        <v>167.2</v>
      </c>
      <c r="L149" s="250">
        <f>[2]AMS_raw!H83</f>
        <v>0.14599999999999999</v>
      </c>
      <c r="M149" s="247">
        <f>[2]AMS_raw!M83</f>
        <v>1.0244</v>
      </c>
      <c r="N149" s="247">
        <f>[2]AMS_raw!N83</f>
        <v>0.99299999999999999</v>
      </c>
      <c r="O149" s="247">
        <f>[2]AMS_raw!O83</f>
        <v>0.98260000000000003</v>
      </c>
      <c r="P149" s="255"/>
      <c r="Q149" s="256"/>
      <c r="R149" s="256"/>
      <c r="S149" s="280">
        <f>[2]AMS_raw!S83</f>
        <v>1.206</v>
      </c>
      <c r="T149" s="280">
        <f>[2]AMS_raw!T83</f>
        <v>0.97899999999999998</v>
      </c>
      <c r="U149" s="281">
        <f>[2]AMS_raw!U83</f>
        <v>-0.497</v>
      </c>
      <c r="V149" s="256">
        <f t="shared" si="1"/>
        <v>4.0804373291682881</v>
      </c>
      <c r="W149" s="247">
        <f>[2]AMS_raw!V83</f>
        <v>-0.505</v>
      </c>
      <c r="X149" s="247">
        <f>[2]AMS_raw!AM83</f>
        <v>122</v>
      </c>
      <c r="Y149" s="247">
        <f>[2]AMS_raw!AN83</f>
        <v>73</v>
      </c>
      <c r="Z149" s="282"/>
      <c r="AA149" s="282"/>
      <c r="AB149" s="282"/>
      <c r="AC149" s="247">
        <f>[2]AMS_raw!AQ83</f>
        <v>332</v>
      </c>
      <c r="AD149" s="247">
        <f>[2]AMS_raw!AR83</f>
        <v>14</v>
      </c>
      <c r="AE149" s="261"/>
      <c r="AF149" s="247">
        <f>[2]AMS_raw!AD83</f>
        <v>147</v>
      </c>
      <c r="AG149" s="247">
        <f>[2]AMS_raw!AE83</f>
        <v>78</v>
      </c>
      <c r="AH149" s="247">
        <f>[2]AMS_raw!AG83</f>
        <v>342</v>
      </c>
      <c r="AI149" s="247">
        <f>[2]AMS_raw!AH83</f>
        <v>12</v>
      </c>
      <c r="AJ149" s="247">
        <f>[2]AMS_raw!AJ83</f>
        <v>252</v>
      </c>
      <c r="AK149" s="247">
        <f>[2]AMS_raw!AK83</f>
        <v>3</v>
      </c>
      <c r="AL149" s="302"/>
      <c r="AM149" s="262">
        <f t="shared" si="2"/>
        <v>147</v>
      </c>
      <c r="AN149" s="7">
        <f t="shared" si="3"/>
        <v>78</v>
      </c>
      <c r="AO149" s="7" t="s">
        <v>1449</v>
      </c>
      <c r="AP149" s="262">
        <f t="shared" si="4"/>
        <v>252</v>
      </c>
      <c r="AQ149" s="7">
        <f t="shared" si="5"/>
        <v>3</v>
      </c>
      <c r="AR149" s="7" t="s">
        <v>1457</v>
      </c>
      <c r="AV149" s="302"/>
      <c r="AW149" s="302"/>
      <c r="AY149" s="7" t="s">
        <v>103</v>
      </c>
      <c r="AZ149" s="7" t="s">
        <v>1379</v>
      </c>
      <c r="BA149" s="66"/>
    </row>
    <row r="150" spans="1:57" s="7" customFormat="1">
      <c r="A150" t="s">
        <v>1288</v>
      </c>
      <c r="B150" s="280" t="str">
        <f>[2]AMS_raw!A84</f>
        <v>BB64_3</v>
      </c>
      <c r="C150" s="434"/>
      <c r="D150" s="435"/>
      <c r="E150" s="280"/>
      <c r="F150" s="280"/>
      <c r="G150" s="280"/>
      <c r="H150" s="247">
        <v>282</v>
      </c>
      <c r="I150" s="247">
        <v>23</v>
      </c>
      <c r="J150" s="250"/>
      <c r="K150" s="284">
        <f>[2]AMS_raw!G84</f>
        <v>153.80000000000001</v>
      </c>
      <c r="L150" s="250">
        <f>[2]AMS_raw!H84</f>
        <v>0.128</v>
      </c>
      <c r="M150" s="247">
        <f>[2]AMS_raw!M84</f>
        <v>1.0216000000000001</v>
      </c>
      <c r="N150" s="247">
        <f>[2]AMS_raw!N84</f>
        <v>1.0021</v>
      </c>
      <c r="O150" s="247">
        <f>[2]AMS_raw!O84</f>
        <v>0.97629999999999995</v>
      </c>
      <c r="P150" s="255"/>
      <c r="Q150" s="256"/>
      <c r="R150" s="256"/>
      <c r="S150" s="280">
        <f>[2]AMS_raw!S84</f>
        <v>0.54700000000000004</v>
      </c>
      <c r="T150" s="280">
        <f>[2]AMS_raw!T84</f>
        <v>1.0069999999999999</v>
      </c>
      <c r="U150" s="280">
        <f>[2]AMS_raw!U84</f>
        <v>0.152</v>
      </c>
      <c r="V150" s="256">
        <f t="shared" si="1"/>
        <v>4.4342208300704886</v>
      </c>
      <c r="W150" s="247">
        <f>[2]AMS_raw!V84</f>
        <v>0.14099999999999999</v>
      </c>
      <c r="X150" s="247">
        <f>[2]AMS_raw!AM84</f>
        <v>103</v>
      </c>
      <c r="Y150" s="247">
        <f>[2]AMS_raw!AN84</f>
        <v>63</v>
      </c>
      <c r="Z150" s="282"/>
      <c r="AA150" s="282"/>
      <c r="AB150" s="282"/>
      <c r="AC150" s="247">
        <f>[2]AMS_raw!AQ84</f>
        <v>328</v>
      </c>
      <c r="AD150" s="247">
        <f>[2]AMS_raw!AR84</f>
        <v>20</v>
      </c>
      <c r="AE150" s="261"/>
      <c r="AF150" s="247">
        <f>[2]AMS_raw!AD84</f>
        <v>74</v>
      </c>
      <c r="AG150" s="247">
        <f>[2]AMS_raw!AE84</f>
        <v>83</v>
      </c>
      <c r="AH150" s="247">
        <f>[2]AMS_raw!AG84</f>
        <v>336</v>
      </c>
      <c r="AI150" s="247">
        <f>[2]AMS_raw!AH84</f>
        <v>1</v>
      </c>
      <c r="AJ150" s="247">
        <f>[2]AMS_raw!AJ84</f>
        <v>246</v>
      </c>
      <c r="AK150" s="247">
        <f>[2]AMS_raw!AK84</f>
        <v>7</v>
      </c>
      <c r="AL150" s="302"/>
      <c r="AM150" s="262">
        <f t="shared" si="2"/>
        <v>74</v>
      </c>
      <c r="AN150" s="7">
        <f t="shared" si="3"/>
        <v>83</v>
      </c>
      <c r="AO150" s="7" t="s">
        <v>1449</v>
      </c>
      <c r="AP150" s="262">
        <f t="shared" si="4"/>
        <v>246</v>
      </c>
      <c r="AQ150" s="7">
        <f t="shared" si="5"/>
        <v>7</v>
      </c>
      <c r="AR150" s="7" t="s">
        <v>1457</v>
      </c>
      <c r="AV150" s="302"/>
      <c r="AW150" s="302"/>
      <c r="AY150" s="7" t="s">
        <v>1377</v>
      </c>
      <c r="AZ150" s="7" t="s">
        <v>1379</v>
      </c>
      <c r="BA150" s="66"/>
    </row>
    <row r="151" spans="1:57">
      <c r="A151" t="s">
        <v>1288</v>
      </c>
      <c r="B151" s="245" t="s">
        <v>1458</v>
      </c>
      <c r="C151" s="362">
        <v>20.977</v>
      </c>
      <c r="D151" s="246">
        <v>3</v>
      </c>
      <c r="E151" s="247">
        <v>0</v>
      </c>
      <c r="F151" s="247">
        <v>3</v>
      </c>
      <c r="G151" s="247">
        <v>90</v>
      </c>
      <c r="H151" s="248">
        <v>166.4</v>
      </c>
      <c r="I151" s="249">
        <v>76</v>
      </c>
      <c r="J151" s="250">
        <f t="shared" si="0"/>
        <v>346.4</v>
      </c>
      <c r="K151" s="248">
        <f>254</f>
        <v>254</v>
      </c>
      <c r="L151" s="252">
        <v>2.3E-2</v>
      </c>
      <c r="M151" s="253">
        <v>1.0403</v>
      </c>
      <c r="N151" s="254">
        <v>0.99639999999999995</v>
      </c>
      <c r="O151" s="254">
        <v>0.96330000000000005</v>
      </c>
      <c r="P151" s="255">
        <v>1.08</v>
      </c>
      <c r="Q151" s="256">
        <v>1.044</v>
      </c>
      <c r="R151" s="256">
        <v>1.034</v>
      </c>
      <c r="S151" s="257">
        <v>0.79600000000000004</v>
      </c>
      <c r="T151" s="257">
        <v>0.99099999999999999</v>
      </c>
      <c r="U151" s="258">
        <v>-0.12</v>
      </c>
      <c r="V151" s="256">
        <f t="shared" si="1"/>
        <v>7.4017110448908925</v>
      </c>
      <c r="W151" s="252">
        <v>-0.13900000000000001</v>
      </c>
      <c r="X151" s="259">
        <v>317</v>
      </c>
      <c r="Y151" s="259">
        <v>31</v>
      </c>
      <c r="Z151" s="260">
        <v>0.6</v>
      </c>
      <c r="AA151" s="260">
        <v>125</v>
      </c>
      <c r="AB151" s="260">
        <v>58</v>
      </c>
      <c r="AC151" s="259">
        <v>223</v>
      </c>
      <c r="AD151" s="259">
        <v>5</v>
      </c>
      <c r="AE151" s="261">
        <v>0.3</v>
      </c>
      <c r="AF151">
        <v>120.8</v>
      </c>
      <c r="AG151">
        <v>-26.3</v>
      </c>
      <c r="AJ151">
        <v>5.3</v>
      </c>
      <c r="AK151">
        <v>-39.700000000000003</v>
      </c>
      <c r="AL151" s="259" t="s">
        <v>1361</v>
      </c>
      <c r="AM151" s="262">
        <f t="shared" si="2"/>
        <v>300.8</v>
      </c>
      <c r="AN151">
        <f t="shared" si="3"/>
        <v>26.3</v>
      </c>
      <c r="AO151" t="s">
        <v>1449</v>
      </c>
      <c r="AP151" s="436">
        <f t="shared" si="4"/>
        <v>185.3</v>
      </c>
      <c r="AQ151" s="286">
        <f t="shared" si="5"/>
        <v>39.700000000000003</v>
      </c>
      <c r="AR151" t="s">
        <v>1459</v>
      </c>
      <c r="AS151">
        <f>185.3-180</f>
        <v>5.3000000000000114</v>
      </c>
      <c r="AT151">
        <v>39.700000000000003</v>
      </c>
      <c r="AV151" s="259">
        <v>300.8</v>
      </c>
      <c r="AW151" s="259">
        <v>26.3</v>
      </c>
      <c r="AX151" t="s">
        <v>1449</v>
      </c>
      <c r="AY151" s="7" t="s">
        <v>103</v>
      </c>
      <c r="AZ151" s="7" t="s">
        <v>1373</v>
      </c>
      <c r="BA151" s="285">
        <f>AVERAGE(AP151:AP154)+90</f>
        <v>278.42500000000001</v>
      </c>
      <c r="BB151" s="285">
        <f>90-AVERAGE(AQ151:AQ154)</f>
        <v>49.825000000000003</v>
      </c>
      <c r="BC151" s="286">
        <v>277.39999999999998</v>
      </c>
      <c r="BD151" s="286" t="s">
        <v>1498</v>
      </c>
      <c r="BE151" s="7" t="s">
        <v>1500</v>
      </c>
    </row>
    <row r="152" spans="1:57">
      <c r="A152" t="s">
        <v>1288</v>
      </c>
      <c r="B152" s="245" t="s">
        <v>1460</v>
      </c>
      <c r="C152" s="362">
        <v>23.856000000000002</v>
      </c>
      <c r="D152" s="246">
        <v>3</v>
      </c>
      <c r="E152" s="247">
        <v>0</v>
      </c>
      <c r="F152" s="247">
        <v>3</v>
      </c>
      <c r="G152" s="247">
        <v>90</v>
      </c>
      <c r="H152" s="248">
        <v>166.4</v>
      </c>
      <c r="I152" s="249">
        <v>76</v>
      </c>
      <c r="J152" s="250">
        <f t="shared" si="0"/>
        <v>346.4</v>
      </c>
      <c r="K152" s="248">
        <f>249.4</f>
        <v>249.4</v>
      </c>
      <c r="L152" s="252">
        <v>8.0000000000000002E-3</v>
      </c>
      <c r="M152" s="253">
        <v>1.0399</v>
      </c>
      <c r="N152" s="254">
        <v>0.99619999999999997</v>
      </c>
      <c r="O152" s="254">
        <v>0.96360000000000001</v>
      </c>
      <c r="P152" s="255">
        <v>1.079</v>
      </c>
      <c r="Q152" s="256">
        <v>1.044</v>
      </c>
      <c r="R152" s="256">
        <v>1.034</v>
      </c>
      <c r="S152" s="257">
        <v>0.80700000000000005</v>
      </c>
      <c r="T152" s="257">
        <v>0.99</v>
      </c>
      <c r="U152" s="258">
        <v>-0.13100000000000001</v>
      </c>
      <c r="V152" s="256">
        <f t="shared" si="1"/>
        <v>7.3372439657659418</v>
      </c>
      <c r="W152" s="252">
        <v>-0.15</v>
      </c>
      <c r="X152" s="259">
        <v>320</v>
      </c>
      <c r="Y152" s="259">
        <v>31</v>
      </c>
      <c r="Z152" s="260">
        <v>0.2</v>
      </c>
      <c r="AA152" s="260">
        <v>117</v>
      </c>
      <c r="AB152" s="260">
        <v>57</v>
      </c>
      <c r="AC152" s="259">
        <v>224</v>
      </c>
      <c r="AD152" s="259">
        <v>11</v>
      </c>
      <c r="AE152" s="261">
        <v>0.1</v>
      </c>
      <c r="AF152">
        <v>122.4</v>
      </c>
      <c r="AG152">
        <v>-24.2</v>
      </c>
      <c r="AJ152">
        <v>12.8</v>
      </c>
      <c r="AK152">
        <v>-38</v>
      </c>
      <c r="AL152" s="259" t="s">
        <v>1361</v>
      </c>
      <c r="AM152" s="262">
        <f t="shared" si="2"/>
        <v>302.39999999999998</v>
      </c>
      <c r="AN152">
        <f t="shared" si="3"/>
        <v>24.2</v>
      </c>
      <c r="AO152" t="s">
        <v>1449</v>
      </c>
      <c r="AP152" s="436">
        <f t="shared" si="4"/>
        <v>192.8</v>
      </c>
      <c r="AQ152" s="286">
        <f t="shared" si="5"/>
        <v>38</v>
      </c>
      <c r="AR152" t="s">
        <v>1459</v>
      </c>
      <c r="AS152">
        <f>192.8-180</f>
        <v>12.800000000000011</v>
      </c>
      <c r="AT152">
        <v>38</v>
      </c>
      <c r="AV152" s="259">
        <v>302.39999999999998</v>
      </c>
      <c r="AW152" s="259">
        <v>24.2</v>
      </c>
      <c r="AX152" t="s">
        <v>1449</v>
      </c>
      <c r="AY152" s="7" t="s">
        <v>103</v>
      </c>
      <c r="AZ152" s="7" t="s">
        <v>1373</v>
      </c>
    </row>
    <row r="153" spans="1:57">
      <c r="A153" t="s">
        <v>1288</v>
      </c>
      <c r="B153" s="245" t="s">
        <v>1461</v>
      </c>
      <c r="C153" s="431"/>
      <c r="D153" s="246">
        <v>3</v>
      </c>
      <c r="E153" s="247">
        <v>0</v>
      </c>
      <c r="F153" s="247">
        <v>3</v>
      </c>
      <c r="G153" s="247">
        <v>90</v>
      </c>
      <c r="H153" s="248">
        <v>166.4</v>
      </c>
      <c r="I153" s="249">
        <v>76</v>
      </c>
      <c r="J153" s="250">
        <f t="shared" si="0"/>
        <v>346.4</v>
      </c>
      <c r="K153" s="248">
        <f>242.4</f>
        <v>242.4</v>
      </c>
      <c r="L153" s="252">
        <v>0.05</v>
      </c>
      <c r="M153" s="253">
        <v>1.044</v>
      </c>
      <c r="N153" s="254">
        <v>0.99760000000000004</v>
      </c>
      <c r="O153" s="254">
        <v>0.95840000000000003</v>
      </c>
      <c r="P153" s="255">
        <v>1.089</v>
      </c>
      <c r="Q153" s="256">
        <v>1.0469999999999999</v>
      </c>
      <c r="R153" s="256">
        <v>1.0409999999999999</v>
      </c>
      <c r="S153" s="257">
        <v>0.74399999999999999</v>
      </c>
      <c r="T153" s="257">
        <v>0.995</v>
      </c>
      <c r="U153" s="258">
        <v>-6.4000000000000001E-2</v>
      </c>
      <c r="V153" s="256">
        <f t="shared" si="1"/>
        <v>8.1992337164750957</v>
      </c>
      <c r="W153" s="252">
        <v>-8.5000000000000006E-2</v>
      </c>
      <c r="X153" s="259">
        <v>318</v>
      </c>
      <c r="Y153" s="259">
        <v>35</v>
      </c>
      <c r="Z153" s="260">
        <v>1.2</v>
      </c>
      <c r="AA153" s="260">
        <v>130</v>
      </c>
      <c r="AB153" s="260">
        <v>55</v>
      </c>
      <c r="AC153" s="259">
        <v>225</v>
      </c>
      <c r="AD153" s="259">
        <v>4</v>
      </c>
      <c r="AE153" s="261">
        <v>0.6</v>
      </c>
      <c r="AF153">
        <v>117.9</v>
      </c>
      <c r="AG153">
        <v>-23.1</v>
      </c>
      <c r="AJ153">
        <v>5.0999999999999996</v>
      </c>
      <c r="AK153">
        <v>-41.9</v>
      </c>
      <c r="AL153" s="259" t="s">
        <v>1361</v>
      </c>
      <c r="AM153" s="262">
        <f t="shared" si="2"/>
        <v>297.89999999999998</v>
      </c>
      <c r="AN153">
        <f t="shared" si="3"/>
        <v>23.1</v>
      </c>
      <c r="AO153" t="s">
        <v>1449</v>
      </c>
      <c r="AP153" s="436">
        <f t="shared" si="4"/>
        <v>185.1</v>
      </c>
      <c r="AQ153" s="286">
        <f t="shared" si="5"/>
        <v>41.9</v>
      </c>
      <c r="AR153" t="s">
        <v>1459</v>
      </c>
      <c r="AS153">
        <f>185.1-180</f>
        <v>5.0999999999999943</v>
      </c>
      <c r="AT153">
        <v>41.9</v>
      </c>
      <c r="AV153" s="259">
        <v>297.89999999999998</v>
      </c>
      <c r="AW153" s="259">
        <v>23.1</v>
      </c>
      <c r="AX153" t="s">
        <v>1449</v>
      </c>
      <c r="AY153" s="7" t="s">
        <v>1377</v>
      </c>
      <c r="AZ153" s="7" t="s">
        <v>1373</v>
      </c>
    </row>
    <row r="154" spans="1:57">
      <c r="A154" t="s">
        <v>1288</v>
      </c>
      <c r="B154" s="264" t="s">
        <v>1462</v>
      </c>
      <c r="C154" s="407"/>
      <c r="D154" s="266">
        <v>3</v>
      </c>
      <c r="E154" s="264">
        <v>0</v>
      </c>
      <c r="F154" s="264">
        <v>3</v>
      </c>
      <c r="G154" s="264">
        <v>90</v>
      </c>
      <c r="H154" s="248">
        <v>166.4</v>
      </c>
      <c r="I154" s="249">
        <v>76</v>
      </c>
      <c r="J154" s="250">
        <f t="shared" si="0"/>
        <v>346.4</v>
      </c>
      <c r="K154" s="320">
        <f>287.1</f>
        <v>287.10000000000002</v>
      </c>
      <c r="L154" s="268">
        <v>3.4000000000000002E-2</v>
      </c>
      <c r="M154" s="269">
        <v>1.0412999999999999</v>
      </c>
      <c r="N154" s="270">
        <v>0.98980000000000001</v>
      </c>
      <c r="O154" s="270">
        <v>0.96889999999999998</v>
      </c>
      <c r="P154" s="271">
        <v>1.075</v>
      </c>
      <c r="Q154" s="272">
        <v>1.052</v>
      </c>
      <c r="R154" s="272">
        <v>1.022</v>
      </c>
      <c r="S154" s="273">
        <v>1.103</v>
      </c>
      <c r="T154" s="273">
        <v>0.97099999999999997</v>
      </c>
      <c r="U154" s="274">
        <v>-0.40699999999999997</v>
      </c>
      <c r="V154" s="256">
        <f t="shared" si="1"/>
        <v>6.9528474022855971</v>
      </c>
      <c r="W154" s="268">
        <v>-0.42199999999999999</v>
      </c>
      <c r="X154" s="365">
        <v>322</v>
      </c>
      <c r="Y154" s="275">
        <v>36</v>
      </c>
      <c r="Z154" s="276">
        <v>0.7</v>
      </c>
      <c r="AA154" s="260">
        <v>125</v>
      </c>
      <c r="AB154" s="260">
        <v>53</v>
      </c>
      <c r="AC154" s="275">
        <v>226</v>
      </c>
      <c r="AD154" s="275">
        <v>8</v>
      </c>
      <c r="AE154" s="277">
        <v>0.5</v>
      </c>
      <c r="AF154">
        <v>119.1</v>
      </c>
      <c r="AG154">
        <v>-19.899999999999999</v>
      </c>
      <c r="AJ154">
        <v>10.5</v>
      </c>
      <c r="AK154">
        <v>-41.1</v>
      </c>
      <c r="AL154" s="259" t="s">
        <v>1361</v>
      </c>
      <c r="AM154" s="262">
        <f t="shared" si="2"/>
        <v>299.10000000000002</v>
      </c>
      <c r="AN154">
        <f t="shared" si="3"/>
        <v>19.899999999999999</v>
      </c>
      <c r="AO154" t="s">
        <v>1449</v>
      </c>
      <c r="AP154" s="436">
        <f t="shared" si="4"/>
        <v>190.5</v>
      </c>
      <c r="AQ154" s="286">
        <f t="shared" si="5"/>
        <v>41.1</v>
      </c>
      <c r="AR154" t="s">
        <v>1459</v>
      </c>
      <c r="AS154">
        <f>190.5-180</f>
        <v>10.5</v>
      </c>
      <c r="AT154">
        <v>41.1</v>
      </c>
      <c r="AV154" s="365">
        <v>299.10000000000002</v>
      </c>
      <c r="AW154" s="275">
        <v>19.899999999999999</v>
      </c>
      <c r="AX154" t="s">
        <v>1449</v>
      </c>
      <c r="AY154" s="7" t="s">
        <v>103</v>
      </c>
      <c r="AZ154" s="7" t="s">
        <v>1373</v>
      </c>
    </row>
    <row r="155" spans="1:57">
      <c r="A155" t="s">
        <v>1288</v>
      </c>
      <c r="B155" s="245" t="s">
        <v>1463</v>
      </c>
      <c r="C155" s="362">
        <v>24.946000000000002</v>
      </c>
      <c r="D155" s="246">
        <v>3</v>
      </c>
      <c r="E155" s="247">
        <v>0</v>
      </c>
      <c r="F155" s="247">
        <v>3</v>
      </c>
      <c r="G155" s="247">
        <v>90</v>
      </c>
      <c r="H155" s="248">
        <v>148.4</v>
      </c>
      <c r="I155" s="249">
        <v>45</v>
      </c>
      <c r="J155" s="250">
        <f t="shared" si="0"/>
        <v>328.4</v>
      </c>
      <c r="K155" s="248">
        <f>62.7</f>
        <v>62.7</v>
      </c>
      <c r="L155" s="252">
        <v>6.7000000000000004E-2</v>
      </c>
      <c r="M155" s="253">
        <v>1.0266</v>
      </c>
      <c r="N155" s="254">
        <v>0.99729999999999996</v>
      </c>
      <c r="O155" s="254">
        <v>0.97609999999999997</v>
      </c>
      <c r="P155" s="255">
        <v>1.052</v>
      </c>
      <c r="Q155" s="256">
        <v>1.0289999999999999</v>
      </c>
      <c r="R155" s="256">
        <v>1.022</v>
      </c>
      <c r="S155" s="257">
        <v>0.81899999999999995</v>
      </c>
      <c r="T155" s="257">
        <v>0.99199999999999999</v>
      </c>
      <c r="U155" s="258">
        <v>-0.14899999999999999</v>
      </c>
      <c r="V155" s="256">
        <f t="shared" si="1"/>
        <v>4.9191505941944271</v>
      </c>
      <c r="W155" s="252">
        <v>-0.16200000000000001</v>
      </c>
      <c r="X155" s="259">
        <v>319</v>
      </c>
      <c r="Y155" s="259">
        <v>6</v>
      </c>
      <c r="Z155" s="260">
        <v>2.7</v>
      </c>
      <c r="AA155" s="260">
        <v>57</v>
      </c>
      <c r="AB155" s="260">
        <v>56</v>
      </c>
      <c r="AC155" s="259">
        <v>255</v>
      </c>
      <c r="AD155" s="259">
        <v>33</v>
      </c>
      <c r="AE155" s="261">
        <v>1.4</v>
      </c>
      <c r="AF155">
        <v>112.9</v>
      </c>
      <c r="AG155">
        <v>-22.8</v>
      </c>
      <c r="AJ155">
        <v>45.6</v>
      </c>
      <c r="AK155">
        <v>-10.8</v>
      </c>
      <c r="AL155" s="259" t="s">
        <v>1361</v>
      </c>
      <c r="AM155" s="262">
        <f t="shared" si="2"/>
        <v>292.89999999999998</v>
      </c>
      <c r="AN155">
        <f t="shared" si="3"/>
        <v>22.8</v>
      </c>
      <c r="AO155" t="s">
        <v>1449</v>
      </c>
      <c r="AP155" s="262">
        <f t="shared" si="4"/>
        <v>225.6</v>
      </c>
      <c r="AQ155">
        <f t="shared" si="5"/>
        <v>10.8</v>
      </c>
      <c r="AR155" t="s">
        <v>1459</v>
      </c>
      <c r="AS155">
        <f>225.6-180</f>
        <v>45.599999999999994</v>
      </c>
      <c r="AT155">
        <v>10.8</v>
      </c>
      <c r="AV155" s="259">
        <v>292.89999999999998</v>
      </c>
      <c r="AW155" s="259">
        <v>22.8</v>
      </c>
      <c r="AX155" t="s">
        <v>1449</v>
      </c>
      <c r="AY155" s="7" t="s">
        <v>103</v>
      </c>
      <c r="AZ155" s="7" t="s">
        <v>1433</v>
      </c>
      <c r="BA155" s="5">
        <f>AVERAGE(AP156:AP158)+90</f>
        <v>114.23333333333333</v>
      </c>
      <c r="BB155" s="5">
        <f>90-AVERAGE(AQ156:AQ158)</f>
        <v>88.63333333333334</v>
      </c>
      <c r="BC155" s="7">
        <v>252.4</v>
      </c>
      <c r="BD155" s="7" t="s">
        <v>1499</v>
      </c>
      <c r="BE155" s="7" t="s">
        <v>1500</v>
      </c>
    </row>
    <row r="156" spans="1:57">
      <c r="A156" t="s">
        <v>1288</v>
      </c>
      <c r="B156" s="245" t="s">
        <v>1464</v>
      </c>
      <c r="C156" s="362">
        <v>20.777000000000001</v>
      </c>
      <c r="D156" s="246">
        <v>3</v>
      </c>
      <c r="E156" s="247">
        <v>0</v>
      </c>
      <c r="F156" s="247">
        <v>3</v>
      </c>
      <c r="G156" s="247">
        <v>90</v>
      </c>
      <c r="H156" s="248">
        <v>148.4</v>
      </c>
      <c r="I156" s="249">
        <v>45</v>
      </c>
      <c r="J156" s="250">
        <f t="shared" si="0"/>
        <v>328.4</v>
      </c>
      <c r="K156" s="248">
        <f>51.94</f>
        <v>51.94</v>
      </c>
      <c r="L156" s="252">
        <v>0.09</v>
      </c>
      <c r="M156" s="253">
        <v>1.0221</v>
      </c>
      <c r="N156" s="254">
        <v>1.0013000000000001</v>
      </c>
      <c r="O156" s="254">
        <v>0.97660000000000002</v>
      </c>
      <c r="P156" s="255">
        <v>1.0469999999999999</v>
      </c>
      <c r="Q156" s="256">
        <v>1.0209999999999999</v>
      </c>
      <c r="R156" s="256">
        <v>1.0249999999999999</v>
      </c>
      <c r="S156" s="257">
        <v>0.59499999999999997</v>
      </c>
      <c r="T156" s="257">
        <v>1.004</v>
      </c>
      <c r="U156" s="257">
        <v>9.4E-2</v>
      </c>
      <c r="V156" s="256">
        <f t="shared" si="1"/>
        <v>4.4516192153409637</v>
      </c>
      <c r="W156" s="252">
        <v>8.3000000000000004E-2</v>
      </c>
      <c r="X156" s="259">
        <v>320</v>
      </c>
      <c r="Y156" s="259">
        <v>6</v>
      </c>
      <c r="Z156" s="260">
        <v>5.0999999999999996</v>
      </c>
      <c r="AA156" s="260">
        <v>58</v>
      </c>
      <c r="AB156" s="260">
        <v>52</v>
      </c>
      <c r="AC156" s="259">
        <v>226</v>
      </c>
      <c r="AD156" s="259">
        <v>37</v>
      </c>
      <c r="AE156" s="261">
        <v>2.2000000000000002</v>
      </c>
      <c r="AF156">
        <v>113.8</v>
      </c>
      <c r="AG156">
        <v>-22.2</v>
      </c>
      <c r="AJ156">
        <v>24.7</v>
      </c>
      <c r="AK156">
        <v>1.1000000000000001</v>
      </c>
      <c r="AL156" s="259" t="s">
        <v>1361</v>
      </c>
      <c r="AM156" s="262">
        <f t="shared" si="2"/>
        <v>293.8</v>
      </c>
      <c r="AN156">
        <f t="shared" si="3"/>
        <v>22.2</v>
      </c>
      <c r="AO156" t="s">
        <v>1449</v>
      </c>
      <c r="AP156" s="262">
        <f t="shared" si="4"/>
        <v>24.7</v>
      </c>
      <c r="AQ156">
        <f t="shared" si="5"/>
        <v>1.1000000000000001</v>
      </c>
      <c r="AR156" t="s">
        <v>1459</v>
      </c>
      <c r="AS156">
        <v>204.7</v>
      </c>
      <c r="AT156">
        <v>1.1000000000000001</v>
      </c>
      <c r="AV156" s="259">
        <v>293.8</v>
      </c>
      <c r="AW156" s="259">
        <v>22.2</v>
      </c>
      <c r="AX156" t="s">
        <v>1449</v>
      </c>
      <c r="AY156" s="7" t="s">
        <v>1377</v>
      </c>
      <c r="AZ156" s="7" t="s">
        <v>1433</v>
      </c>
    </row>
    <row r="157" spans="1:57">
      <c r="A157" t="s">
        <v>1288</v>
      </c>
      <c r="B157" s="245" t="s">
        <v>1465</v>
      </c>
      <c r="C157" s="431"/>
      <c r="D157" s="246">
        <v>3</v>
      </c>
      <c r="E157" s="247">
        <v>0</v>
      </c>
      <c r="F157" s="247">
        <v>3</v>
      </c>
      <c r="G157" s="247">
        <v>90</v>
      </c>
      <c r="H157" s="248">
        <v>148.4</v>
      </c>
      <c r="I157" s="249">
        <v>45</v>
      </c>
      <c r="J157" s="250">
        <f t="shared" si="0"/>
        <v>328.4</v>
      </c>
      <c r="K157" s="248">
        <f>48.28</f>
        <v>48.28</v>
      </c>
      <c r="L157" s="252">
        <v>8.3000000000000004E-2</v>
      </c>
      <c r="M157" s="253">
        <v>1.0217000000000001</v>
      </c>
      <c r="N157" s="254">
        <v>1.0017</v>
      </c>
      <c r="O157" s="254">
        <v>0.97660000000000002</v>
      </c>
      <c r="P157" s="255">
        <v>1.046</v>
      </c>
      <c r="Q157" s="256">
        <v>1.02</v>
      </c>
      <c r="R157" s="256">
        <v>1.026</v>
      </c>
      <c r="S157" s="257">
        <v>0.57199999999999995</v>
      </c>
      <c r="T157" s="257">
        <v>1.006</v>
      </c>
      <c r="U157" s="257">
        <v>0.122</v>
      </c>
      <c r="V157" s="256">
        <f t="shared" si="1"/>
        <v>4.4142116081041429</v>
      </c>
      <c r="W157" s="252">
        <v>0.111</v>
      </c>
      <c r="X157" s="259">
        <v>318</v>
      </c>
      <c r="Y157" s="259">
        <v>4</v>
      </c>
      <c r="Z157" s="260">
        <v>4.9000000000000004</v>
      </c>
      <c r="AA157" s="260">
        <v>53</v>
      </c>
      <c r="AB157" s="260">
        <v>54</v>
      </c>
      <c r="AC157" s="259">
        <v>225</v>
      </c>
      <c r="AD157" s="259">
        <v>36</v>
      </c>
      <c r="AE157" s="261">
        <v>2</v>
      </c>
      <c r="AF157">
        <v>113.3</v>
      </c>
      <c r="AG157">
        <v>-25</v>
      </c>
      <c r="AJ157">
        <v>23.5</v>
      </c>
      <c r="AK157">
        <v>0.6</v>
      </c>
      <c r="AL157" s="259" t="s">
        <v>1361</v>
      </c>
      <c r="AM157" s="262">
        <f t="shared" si="2"/>
        <v>293.3</v>
      </c>
      <c r="AN157">
        <f t="shared" si="3"/>
        <v>25</v>
      </c>
      <c r="AO157" t="s">
        <v>1449</v>
      </c>
      <c r="AP157" s="262">
        <f t="shared" si="4"/>
        <v>23.5</v>
      </c>
      <c r="AQ157">
        <f t="shared" si="5"/>
        <v>0.6</v>
      </c>
      <c r="AR157" t="s">
        <v>1459</v>
      </c>
      <c r="AS157">
        <v>203.5</v>
      </c>
      <c r="AT157">
        <v>0.6</v>
      </c>
      <c r="AV157" s="259">
        <v>293.3</v>
      </c>
      <c r="AW157" s="259">
        <v>25</v>
      </c>
      <c r="AX157" t="s">
        <v>1449</v>
      </c>
      <c r="AY157" s="7" t="s">
        <v>1377</v>
      </c>
      <c r="AZ157" s="7" t="s">
        <v>1433</v>
      </c>
    </row>
    <row r="158" spans="1:57">
      <c r="A158" t="s">
        <v>1288</v>
      </c>
      <c r="B158" s="264" t="s">
        <v>1466</v>
      </c>
      <c r="C158" s="407"/>
      <c r="D158" s="266">
        <v>3</v>
      </c>
      <c r="E158" s="264">
        <v>0</v>
      </c>
      <c r="F158" s="264">
        <v>3</v>
      </c>
      <c r="G158" s="264">
        <v>90</v>
      </c>
      <c r="H158" s="248">
        <v>148.4</v>
      </c>
      <c r="I158" s="249">
        <v>45</v>
      </c>
      <c r="J158" s="250">
        <f t="shared" si="0"/>
        <v>328.4</v>
      </c>
      <c r="K158" s="320">
        <f>69.79</f>
        <v>69.790000000000006</v>
      </c>
      <c r="L158" s="268">
        <v>0.04</v>
      </c>
      <c r="M158" s="269">
        <v>1.0227999999999999</v>
      </c>
      <c r="N158" s="270">
        <v>0.99670000000000003</v>
      </c>
      <c r="O158" s="270">
        <v>0.98070000000000002</v>
      </c>
      <c r="P158" s="271">
        <v>1.0429999999999999</v>
      </c>
      <c r="Q158" s="272">
        <v>1.026</v>
      </c>
      <c r="R158" s="272">
        <v>1.016</v>
      </c>
      <c r="S158" s="273">
        <v>0.89400000000000002</v>
      </c>
      <c r="T158" s="273">
        <v>0.99099999999999999</v>
      </c>
      <c r="U158" s="274">
        <v>-0.22600000000000001</v>
      </c>
      <c r="V158" s="256">
        <f t="shared" si="1"/>
        <v>4.1161517403206807</v>
      </c>
      <c r="W158" s="268">
        <v>-0.23599999999999999</v>
      </c>
      <c r="X158" s="275">
        <v>326</v>
      </c>
      <c r="Y158" s="275">
        <v>14</v>
      </c>
      <c r="Z158" s="276">
        <v>1.8</v>
      </c>
      <c r="AA158" s="260">
        <v>73</v>
      </c>
      <c r="AB158" s="260">
        <v>49</v>
      </c>
      <c r="AC158" s="275">
        <v>225</v>
      </c>
      <c r="AD158" s="275">
        <v>38</v>
      </c>
      <c r="AE158" s="277">
        <v>1.1000000000000001</v>
      </c>
      <c r="AF158">
        <v>113.8</v>
      </c>
      <c r="AG158">
        <v>-12.3</v>
      </c>
      <c r="AJ158">
        <v>24.5</v>
      </c>
      <c r="AK158">
        <v>2.4</v>
      </c>
      <c r="AL158" s="259" t="s">
        <v>1361</v>
      </c>
      <c r="AM158" s="262">
        <f t="shared" si="2"/>
        <v>293.8</v>
      </c>
      <c r="AN158">
        <f t="shared" si="3"/>
        <v>12.3</v>
      </c>
      <c r="AO158" t="s">
        <v>1449</v>
      </c>
      <c r="AP158" s="262">
        <f t="shared" si="4"/>
        <v>24.5</v>
      </c>
      <c r="AQ158">
        <f t="shared" si="5"/>
        <v>2.4</v>
      </c>
      <c r="AR158" t="s">
        <v>1459</v>
      </c>
      <c r="AS158">
        <v>204.5</v>
      </c>
      <c r="AT158">
        <v>2.4</v>
      </c>
      <c r="AV158" s="275">
        <v>293.8</v>
      </c>
      <c r="AW158" s="275">
        <v>12.3</v>
      </c>
      <c r="AX158" t="s">
        <v>1449</v>
      </c>
      <c r="AY158" s="7" t="s">
        <v>103</v>
      </c>
      <c r="AZ158" s="7" t="s">
        <v>1433</v>
      </c>
    </row>
    <row r="159" spans="1:57">
      <c r="A159" t="s">
        <v>1288</v>
      </c>
      <c r="B159" s="245" t="s">
        <v>1467</v>
      </c>
      <c r="C159" s="362">
        <v>21.23</v>
      </c>
      <c r="D159" s="246">
        <v>3</v>
      </c>
      <c r="E159" s="247">
        <v>0</v>
      </c>
      <c r="F159" s="247">
        <v>3</v>
      </c>
      <c r="G159" s="247">
        <v>90</v>
      </c>
      <c r="H159" s="248">
        <v>286.39999999999998</v>
      </c>
      <c r="I159" s="249">
        <v>13</v>
      </c>
      <c r="J159" s="250">
        <f t="shared" si="0"/>
        <v>106.39999999999998</v>
      </c>
      <c r="K159" s="248">
        <f>152.6</f>
        <v>152.6</v>
      </c>
      <c r="L159" s="252">
        <v>1.4E-2</v>
      </c>
      <c r="M159" s="253">
        <v>1.042</v>
      </c>
      <c r="N159" s="254">
        <v>0.98260000000000003</v>
      </c>
      <c r="O159" s="254">
        <v>0.97550000000000003</v>
      </c>
      <c r="P159" s="255">
        <v>1.0680000000000001</v>
      </c>
      <c r="Q159" s="256">
        <v>1.06</v>
      </c>
      <c r="R159" s="256">
        <v>1.0069999999999999</v>
      </c>
      <c r="S159" s="257">
        <v>1.6140000000000001</v>
      </c>
      <c r="T159" s="257">
        <v>0.95</v>
      </c>
      <c r="U159" s="258">
        <v>-0.78</v>
      </c>
      <c r="V159" s="256">
        <f t="shared" si="1"/>
        <v>6.3819577735124762</v>
      </c>
      <c r="W159" s="252">
        <v>-0.78600000000000003</v>
      </c>
      <c r="X159" s="259">
        <v>115</v>
      </c>
      <c r="Y159" s="259">
        <v>10</v>
      </c>
      <c r="Z159" s="260">
        <v>0.3</v>
      </c>
      <c r="AA159" s="260">
        <v>109</v>
      </c>
      <c r="AB159" s="260">
        <v>20</v>
      </c>
      <c r="AC159" s="259">
        <v>259</v>
      </c>
      <c r="AD159" s="259">
        <v>68</v>
      </c>
      <c r="AE159" s="261">
        <v>0.2</v>
      </c>
      <c r="AF159">
        <v>43</v>
      </c>
      <c r="AG159">
        <v>21.7</v>
      </c>
      <c r="AJ159">
        <v>189.2</v>
      </c>
      <c r="AK159">
        <v>55.2</v>
      </c>
      <c r="AL159" s="259"/>
      <c r="AM159" s="262">
        <f t="shared" si="2"/>
        <v>43</v>
      </c>
      <c r="AN159">
        <f t="shared" si="3"/>
        <v>21.7</v>
      </c>
      <c r="AO159" t="s">
        <v>1449</v>
      </c>
      <c r="AP159" s="436">
        <f t="shared" si="4"/>
        <v>189.2</v>
      </c>
      <c r="AQ159" s="286">
        <f t="shared" si="5"/>
        <v>55.2</v>
      </c>
      <c r="AR159" t="s">
        <v>1459</v>
      </c>
      <c r="AS159">
        <v>9.1999999999999993</v>
      </c>
      <c r="AT159">
        <v>55.2</v>
      </c>
      <c r="AV159" s="259">
        <v>43</v>
      </c>
      <c r="AW159" s="259">
        <v>21.7</v>
      </c>
      <c r="AX159" t="s">
        <v>1449</v>
      </c>
      <c r="AY159" s="7" t="s">
        <v>103</v>
      </c>
      <c r="AZ159" s="7" t="s">
        <v>1418</v>
      </c>
      <c r="BA159" s="285">
        <f>AVERAGE(AP159:AP162)+90</f>
        <v>285.84999999999997</v>
      </c>
      <c r="BB159" s="285">
        <f>90-AVERAGE(AQ159:AQ162)</f>
        <v>40.174999999999997</v>
      </c>
      <c r="BC159" s="286">
        <v>279.39999999999998</v>
      </c>
      <c r="BD159" s="286">
        <v>25</v>
      </c>
      <c r="BE159" s="7" t="s">
        <v>1500</v>
      </c>
    </row>
    <row r="160" spans="1:57">
      <c r="A160" t="s">
        <v>1288</v>
      </c>
      <c r="B160" s="245" t="s">
        <v>1468</v>
      </c>
      <c r="C160" s="362">
        <v>20.754999999999999</v>
      </c>
      <c r="D160" s="246">
        <v>3</v>
      </c>
      <c r="E160" s="247">
        <v>0</v>
      </c>
      <c r="F160" s="247">
        <v>3</v>
      </c>
      <c r="G160" s="247">
        <v>90</v>
      </c>
      <c r="H160" s="248">
        <v>286.39999999999998</v>
      </c>
      <c r="I160" s="249">
        <v>13</v>
      </c>
      <c r="J160" s="250">
        <f t="shared" si="0"/>
        <v>106.39999999999998</v>
      </c>
      <c r="K160" s="248">
        <f>156.4</f>
        <v>156.4</v>
      </c>
      <c r="L160" s="252">
        <v>2.7E-2</v>
      </c>
      <c r="M160" s="253">
        <v>1.0371999999999999</v>
      </c>
      <c r="N160" s="254">
        <v>0.98429999999999995</v>
      </c>
      <c r="O160" s="254">
        <v>0.97840000000000005</v>
      </c>
      <c r="P160" s="255">
        <v>1.06</v>
      </c>
      <c r="Q160" s="256">
        <v>1.054</v>
      </c>
      <c r="R160" s="256">
        <v>1.006</v>
      </c>
      <c r="S160" s="257">
        <v>1.637</v>
      </c>
      <c r="T160" s="257">
        <v>0.95499999999999996</v>
      </c>
      <c r="U160" s="258">
        <v>-0.79500000000000004</v>
      </c>
      <c r="V160" s="256">
        <f t="shared" si="1"/>
        <v>5.6691091399922726</v>
      </c>
      <c r="W160" s="252">
        <v>-0.8</v>
      </c>
      <c r="X160" s="259">
        <v>18</v>
      </c>
      <c r="Y160" s="259">
        <v>9</v>
      </c>
      <c r="Z160" s="260">
        <v>0.6</v>
      </c>
      <c r="AA160" s="260">
        <v>116</v>
      </c>
      <c r="AB160" s="260">
        <v>39</v>
      </c>
      <c r="AC160" s="259">
        <v>277</v>
      </c>
      <c r="AD160" s="259">
        <v>49</v>
      </c>
      <c r="AE160" s="261">
        <v>0.6</v>
      </c>
      <c r="AF160">
        <v>302</v>
      </c>
      <c r="AG160">
        <v>12.8</v>
      </c>
      <c r="AJ160">
        <v>202.1</v>
      </c>
      <c r="AK160">
        <v>36.1</v>
      </c>
      <c r="AL160" s="259"/>
      <c r="AM160" s="262">
        <f t="shared" si="2"/>
        <v>302</v>
      </c>
      <c r="AN160">
        <f t="shared" si="3"/>
        <v>12.8</v>
      </c>
      <c r="AO160" t="s">
        <v>1449</v>
      </c>
      <c r="AP160" s="436">
        <f t="shared" si="4"/>
        <v>202.1</v>
      </c>
      <c r="AQ160" s="286">
        <f t="shared" si="5"/>
        <v>36.1</v>
      </c>
      <c r="AR160" t="s">
        <v>1459</v>
      </c>
      <c r="AS160">
        <v>22.1</v>
      </c>
      <c r="AT160">
        <v>36.1</v>
      </c>
      <c r="AV160" s="259">
        <v>302</v>
      </c>
      <c r="AW160" s="259">
        <v>12.8</v>
      </c>
      <c r="AX160" t="s">
        <v>1449</v>
      </c>
      <c r="AY160" s="7" t="s">
        <v>103</v>
      </c>
      <c r="AZ160" s="7" t="s">
        <v>1373</v>
      </c>
    </row>
    <row r="161" spans="1:53">
      <c r="A161" t="s">
        <v>1288</v>
      </c>
      <c r="B161" s="245" t="s">
        <v>1469</v>
      </c>
      <c r="C161" s="431"/>
      <c r="D161" s="246">
        <v>3</v>
      </c>
      <c r="E161" s="247">
        <v>0</v>
      </c>
      <c r="F161" s="247">
        <v>3</v>
      </c>
      <c r="G161" s="247">
        <v>90</v>
      </c>
      <c r="H161" s="248">
        <v>286.39999999999998</v>
      </c>
      <c r="I161" s="249">
        <v>13</v>
      </c>
      <c r="J161" s="250">
        <f t="shared" si="0"/>
        <v>106.39999999999998</v>
      </c>
      <c r="K161" s="248">
        <f>129.4</f>
        <v>129.4</v>
      </c>
      <c r="L161" s="252">
        <v>2.5999999999999999E-2</v>
      </c>
      <c r="M161" s="253">
        <v>1.0414000000000001</v>
      </c>
      <c r="N161" s="254">
        <v>0.98440000000000005</v>
      </c>
      <c r="O161" s="254">
        <v>0.97419999999999995</v>
      </c>
      <c r="P161" s="255">
        <v>1.069</v>
      </c>
      <c r="Q161" s="256">
        <v>1.0580000000000001</v>
      </c>
      <c r="R161" s="256">
        <v>1.0109999999999999</v>
      </c>
      <c r="S161" s="257">
        <v>1.472</v>
      </c>
      <c r="T161" s="257">
        <v>0.95499999999999996</v>
      </c>
      <c r="U161" s="258">
        <v>-0.68700000000000006</v>
      </c>
      <c r="V161" s="256">
        <f t="shared" si="1"/>
        <v>6.4528519300941181</v>
      </c>
      <c r="W161" s="252">
        <v>-0.69599999999999995</v>
      </c>
      <c r="X161" s="259">
        <v>14</v>
      </c>
      <c r="Y161" s="259">
        <v>7</v>
      </c>
      <c r="Z161" s="260">
        <v>0.5</v>
      </c>
      <c r="AA161" s="260">
        <v>107</v>
      </c>
      <c r="AB161" s="260">
        <v>22</v>
      </c>
      <c r="AC161" s="259">
        <v>267</v>
      </c>
      <c r="AD161" s="259">
        <v>67</v>
      </c>
      <c r="AE161" s="261">
        <v>0.5</v>
      </c>
      <c r="AF161">
        <v>298.5</v>
      </c>
      <c r="AG161">
        <v>9.9</v>
      </c>
      <c r="AJ161">
        <v>194.4</v>
      </c>
      <c r="AK161">
        <v>54</v>
      </c>
      <c r="AL161" s="259"/>
      <c r="AM161" s="262">
        <f t="shared" si="2"/>
        <v>298.5</v>
      </c>
      <c r="AN161">
        <f t="shared" si="3"/>
        <v>9.9</v>
      </c>
      <c r="AO161" t="s">
        <v>1449</v>
      </c>
      <c r="AP161" s="436">
        <f t="shared" si="4"/>
        <v>194.4</v>
      </c>
      <c r="AQ161" s="286">
        <f t="shared" si="5"/>
        <v>54</v>
      </c>
      <c r="AR161" t="s">
        <v>1459</v>
      </c>
      <c r="AS161">
        <v>14.4</v>
      </c>
      <c r="AT161">
        <v>54</v>
      </c>
      <c r="AV161" s="259">
        <v>298.5</v>
      </c>
      <c r="AW161" s="259">
        <v>9.9</v>
      </c>
      <c r="AX161" t="s">
        <v>1449</v>
      </c>
      <c r="AY161" s="7" t="s">
        <v>103</v>
      </c>
      <c r="AZ161" s="7" t="s">
        <v>1373</v>
      </c>
    </row>
    <row r="162" spans="1:53">
      <c r="A162" t="s">
        <v>1288</v>
      </c>
      <c r="B162" s="245" t="s">
        <v>1470</v>
      </c>
      <c r="C162" s="431"/>
      <c r="D162" s="246">
        <v>3</v>
      </c>
      <c r="E162" s="247">
        <v>0</v>
      </c>
      <c r="F162" s="247">
        <v>3</v>
      </c>
      <c r="G162" s="247">
        <v>90</v>
      </c>
      <c r="H162" s="248">
        <v>286.39999999999998</v>
      </c>
      <c r="I162" s="249">
        <v>13</v>
      </c>
      <c r="J162" s="250">
        <f>IF(H162+180 &gt;360, H162-180, H162+180)</f>
        <v>106.39999999999998</v>
      </c>
      <c r="K162" s="248">
        <f>138.3</f>
        <v>138.30000000000001</v>
      </c>
      <c r="L162" s="252">
        <v>2.5000000000000001E-2</v>
      </c>
      <c r="M162" s="253">
        <v>1.0412999999999999</v>
      </c>
      <c r="N162" s="254">
        <v>0.98280000000000001</v>
      </c>
      <c r="O162" s="254">
        <v>0.97599999999999998</v>
      </c>
      <c r="P162" s="255">
        <v>1.0669999999999999</v>
      </c>
      <c r="Q162" s="256">
        <v>1.06</v>
      </c>
      <c r="R162" s="256">
        <v>1.0069999999999999</v>
      </c>
      <c r="S162" s="257">
        <v>1.623</v>
      </c>
      <c r="T162" s="257">
        <v>0.95</v>
      </c>
      <c r="U162" s="258">
        <v>-0.78600000000000003</v>
      </c>
      <c r="V162" s="256">
        <f>100*(M162-O162)/M162</f>
        <v>6.2710073946028926</v>
      </c>
      <c r="W162" s="252">
        <v>-0.79200000000000004</v>
      </c>
      <c r="X162" s="259">
        <v>18</v>
      </c>
      <c r="Y162" s="259">
        <v>6</v>
      </c>
      <c r="Z162" s="260">
        <v>0.5</v>
      </c>
      <c r="AA162" s="260">
        <v>110</v>
      </c>
      <c r="AB162" s="260">
        <v>22</v>
      </c>
      <c r="AC162" s="259">
        <v>272</v>
      </c>
      <c r="AD162" s="259">
        <v>67</v>
      </c>
      <c r="AE162" s="261">
        <v>0.5</v>
      </c>
      <c r="AF162">
        <v>302.7</v>
      </c>
      <c r="AG162">
        <v>9.8000000000000007</v>
      </c>
      <c r="AJ162">
        <v>197.7</v>
      </c>
      <c r="AK162">
        <v>54</v>
      </c>
      <c r="AL162" s="259"/>
      <c r="AM162" s="262">
        <f>IF(AG162&lt;0, IF(AF162+180 &gt;360, AF162+180-360, AF162+180),AF162)</f>
        <v>302.7</v>
      </c>
      <c r="AN162">
        <f>ABS(AG162)</f>
        <v>9.8000000000000007</v>
      </c>
      <c r="AO162" t="s">
        <v>1449</v>
      </c>
      <c r="AP162" s="436">
        <f>IF(AK162&lt;0, IF(AJ162+180 &gt;360, AJ162+180-360, AJ162+180),AJ162)</f>
        <v>197.7</v>
      </c>
      <c r="AQ162" s="286">
        <f>ABS(AK162)</f>
        <v>54</v>
      </c>
      <c r="AR162" t="s">
        <v>1459</v>
      </c>
      <c r="AS162">
        <v>17.7</v>
      </c>
      <c r="AT162">
        <v>54</v>
      </c>
      <c r="AV162" s="259">
        <v>302.7</v>
      </c>
      <c r="AW162" s="259">
        <v>9.8000000000000007</v>
      </c>
      <c r="AX162" t="s">
        <v>1449</v>
      </c>
      <c r="AY162" s="7" t="s">
        <v>103</v>
      </c>
      <c r="AZ162" s="7" t="s">
        <v>1373</v>
      </c>
    </row>
    <row r="163" spans="1:53">
      <c r="AM163" s="262"/>
      <c r="AN163" s="302"/>
      <c r="AO163" s="53"/>
      <c r="AP163" s="262"/>
      <c r="AQ163" s="73"/>
      <c r="AV163" s="302"/>
      <c r="AW163" s="302"/>
      <c r="AX163" s="53"/>
      <c r="BA163" s="51" t="s">
        <v>1471</v>
      </c>
    </row>
    <row r="164" spans="1:53">
      <c r="AM164" s="262"/>
      <c r="AN164" s="302"/>
      <c r="AO164" s="53"/>
      <c r="AP164" s="262"/>
      <c r="AQ164" s="73"/>
      <c r="AV164" s="302"/>
      <c r="AW164" s="302"/>
      <c r="AX164" s="53"/>
    </row>
    <row r="165" spans="1:53">
      <c r="AM165" s="262"/>
      <c r="AN165" s="302"/>
      <c r="AO165" s="53"/>
      <c r="AP165" s="262"/>
      <c r="AQ165" s="73"/>
      <c r="AV165" s="302"/>
      <c r="AW165" s="302"/>
      <c r="AX165" s="53"/>
    </row>
    <row r="166" spans="1:53">
      <c r="AM166" s="262"/>
      <c r="AN166" s="302"/>
      <c r="AO166" s="53"/>
      <c r="AP166" s="262"/>
      <c r="AQ166" s="73"/>
      <c r="AV166" s="302"/>
      <c r="AW166" s="302"/>
      <c r="AX166" s="53"/>
    </row>
    <row r="167" spans="1:53">
      <c r="AM167" s="262"/>
      <c r="AN167" s="302"/>
      <c r="AO167" s="53"/>
      <c r="AP167" s="262"/>
      <c r="AQ167" s="73"/>
      <c r="AV167" s="302"/>
      <c r="AW167" s="302"/>
      <c r="AX167" s="53"/>
      <c r="AZ167" t="s">
        <v>1472</v>
      </c>
    </row>
    <row r="168" spans="1:53">
      <c r="AM168" s="262"/>
      <c r="AN168" s="302"/>
      <c r="AO168" s="53"/>
      <c r="AP168" s="262"/>
      <c r="AQ168" s="73"/>
      <c r="AV168" s="302"/>
      <c r="AW168" s="302"/>
      <c r="AX168" s="53"/>
      <c r="AZ168" t="s">
        <v>1473</v>
      </c>
    </row>
    <row r="169" spans="1:53">
      <c r="AM169" s="262"/>
      <c r="AN169" s="302"/>
      <c r="AO169" s="53"/>
      <c r="AP169" s="262"/>
      <c r="AQ169" s="73"/>
      <c r="AV169" s="302"/>
      <c r="AW169" s="302"/>
      <c r="AX169" s="53"/>
      <c r="AZ169" t="s">
        <v>1474</v>
      </c>
    </row>
    <row r="170" spans="1:53">
      <c r="AM170" s="262"/>
      <c r="AN170" s="302"/>
      <c r="AO170" s="53"/>
      <c r="AP170" s="262"/>
      <c r="AQ170" s="73"/>
      <c r="AV170" s="302"/>
      <c r="AW170" s="302"/>
      <c r="AX170" s="53"/>
      <c r="AZ170" t="s">
        <v>1475</v>
      </c>
    </row>
    <row r="171" spans="1:53">
      <c r="AM171" s="262"/>
      <c r="AN171" s="302"/>
      <c r="AO171" s="53"/>
      <c r="AP171" s="262"/>
      <c r="AQ171" s="73"/>
      <c r="AV171" s="302"/>
      <c r="AW171" s="302"/>
      <c r="AX171" s="53"/>
      <c r="AZ171" t="s">
        <v>1476</v>
      </c>
    </row>
    <row r="172" spans="1:53">
      <c r="AM172" s="262"/>
      <c r="AN172" s="302"/>
      <c r="AO172" s="53"/>
      <c r="AP172" s="262"/>
      <c r="AQ172" s="73"/>
      <c r="AV172" s="302"/>
      <c r="AW172" s="302"/>
      <c r="AX172" s="53"/>
      <c r="AZ172" t="s">
        <v>1477</v>
      </c>
    </row>
    <row r="173" spans="1:53">
      <c r="AM173" s="262"/>
      <c r="AN173" s="302"/>
      <c r="AO173" s="53"/>
      <c r="AP173" s="262"/>
      <c r="AQ173" s="73"/>
      <c r="AV173" s="302"/>
      <c r="AW173" s="302"/>
      <c r="AX173" s="53"/>
    </row>
    <row r="174" spans="1:53">
      <c r="AM174" s="262"/>
      <c r="AN174" s="302"/>
      <c r="AO174" s="53"/>
      <c r="AP174" s="262"/>
      <c r="AQ174" s="73"/>
      <c r="AV174" s="302"/>
      <c r="AW174" s="302"/>
      <c r="AX174" s="53"/>
    </row>
    <row r="175" spans="1:53">
      <c r="AM175" s="262"/>
      <c r="AN175" s="302"/>
      <c r="AO175" s="53"/>
      <c r="AP175" s="262"/>
      <c r="AQ175" s="73"/>
      <c r="AV175" s="302"/>
      <c r="AW175" s="302"/>
      <c r="AX175" s="53"/>
    </row>
    <row r="176" spans="1:53">
      <c r="AM176" s="262"/>
      <c r="AN176" s="302"/>
      <c r="AO176" s="53"/>
      <c r="AP176" s="262"/>
      <c r="AQ176" s="73"/>
      <c r="AV176" s="302"/>
      <c r="AW176" s="302"/>
      <c r="AX176" s="53"/>
    </row>
    <row r="177" spans="39:50">
      <c r="AM177" s="262"/>
      <c r="AN177" s="302"/>
      <c r="AO177" s="53"/>
      <c r="AP177" s="262"/>
      <c r="AQ177" s="73"/>
      <c r="AV177" s="302"/>
      <c r="AW177" s="302"/>
      <c r="AX177" s="53"/>
    </row>
    <row r="178" spans="39:50">
      <c r="AM178" s="262"/>
      <c r="AN178" s="302"/>
      <c r="AO178" s="53"/>
      <c r="AP178" s="262"/>
      <c r="AQ178" s="73"/>
      <c r="AV178" s="302"/>
      <c r="AW178" s="302"/>
      <c r="AX178" s="53"/>
    </row>
    <row r="179" spans="39:50">
      <c r="AM179" s="262"/>
      <c r="AN179" s="302"/>
      <c r="AO179" s="53"/>
      <c r="AP179" s="262"/>
      <c r="AQ179" s="73"/>
      <c r="AV179" s="302"/>
      <c r="AW179" s="302"/>
      <c r="AX179" s="53"/>
    </row>
    <row r="180" spans="39:50">
      <c r="AM180" s="262"/>
      <c r="AN180" s="302"/>
      <c r="AO180" s="53"/>
      <c r="AP180" s="262"/>
      <c r="AQ180" s="73"/>
      <c r="AV180" s="302"/>
      <c r="AW180" s="302"/>
      <c r="AX180" s="53"/>
    </row>
    <row r="181" spans="39:50">
      <c r="AM181" s="262"/>
      <c r="AN181" s="302"/>
      <c r="AO181" s="53"/>
      <c r="AP181" s="262"/>
      <c r="AQ181" s="73"/>
      <c r="AV181" s="302"/>
      <c r="AW181" s="302"/>
      <c r="AX181" s="53"/>
    </row>
    <row r="182" spans="39:50">
      <c r="AM182" s="262"/>
      <c r="AN182" s="302"/>
      <c r="AO182" s="53"/>
      <c r="AP182" s="262"/>
      <c r="AQ182" s="73"/>
      <c r="AV182" s="302"/>
      <c r="AW182" s="302"/>
      <c r="AX182" s="53"/>
    </row>
    <row r="183" spans="39:50">
      <c r="AM183" s="262"/>
      <c r="AN183" s="302"/>
      <c r="AO183" s="53"/>
      <c r="AP183" s="262"/>
      <c r="AQ183" s="73"/>
      <c r="AV183" s="302"/>
      <c r="AW183" s="302"/>
      <c r="AX183" s="53"/>
    </row>
    <row r="184" spans="39:50">
      <c r="AM184" s="262"/>
      <c r="AN184" s="302"/>
      <c r="AO184" s="53"/>
      <c r="AP184" s="262"/>
      <c r="AQ184" s="73"/>
      <c r="AV184" s="302"/>
      <c r="AW184" s="302"/>
      <c r="AX184" s="53"/>
    </row>
    <row r="185" spans="39:50">
      <c r="AM185" s="262"/>
      <c r="AN185" s="302"/>
      <c r="AO185" s="53"/>
      <c r="AP185" s="262"/>
      <c r="AQ185" s="73"/>
      <c r="AV185" s="302"/>
      <c r="AW185" s="302"/>
      <c r="AX185" s="53"/>
    </row>
    <row r="186" spans="39:50">
      <c r="AM186" s="262"/>
      <c r="AN186" s="302"/>
      <c r="AO186" s="53"/>
      <c r="AP186" s="262"/>
      <c r="AQ186" s="73"/>
      <c r="AV186" s="302"/>
      <c r="AW186" s="302"/>
      <c r="AX186" s="53"/>
    </row>
    <row r="187" spans="39:50">
      <c r="AM187" s="262"/>
      <c r="AN187" s="302"/>
      <c r="AO187" s="53"/>
      <c r="AP187" s="262"/>
      <c r="AQ187" s="73"/>
      <c r="AV187" s="302"/>
      <c r="AW187" s="302"/>
      <c r="AX187" s="53"/>
    </row>
    <row r="188" spans="39:50">
      <c r="AM188" s="262"/>
      <c r="AN188" s="302"/>
      <c r="AO188" s="53"/>
      <c r="AP188" s="262"/>
      <c r="AQ188" s="73"/>
      <c r="AV188" s="302"/>
      <c r="AW188" s="302"/>
      <c r="AX188" s="53"/>
    </row>
    <row r="189" spans="39:50">
      <c r="AM189" s="262"/>
      <c r="AN189" s="302"/>
      <c r="AO189" s="53"/>
      <c r="AP189" s="262"/>
      <c r="AQ189" s="73"/>
      <c r="AV189" s="302"/>
      <c r="AW189" s="302"/>
      <c r="AX189" s="53"/>
    </row>
    <row r="190" spans="39:50">
      <c r="AM190" s="262"/>
      <c r="AN190" s="302"/>
      <c r="AO190" s="53"/>
      <c r="AP190" s="262"/>
      <c r="AQ190" s="73"/>
      <c r="AV190" s="302"/>
      <c r="AW190" s="302"/>
      <c r="AX190" s="53"/>
    </row>
    <row r="191" spans="39:50">
      <c r="AM191" s="262"/>
      <c r="AN191" s="302"/>
      <c r="AO191" s="53"/>
      <c r="AP191" s="262"/>
      <c r="AQ191" s="73"/>
      <c r="AV191" s="302"/>
      <c r="AW191" s="302"/>
      <c r="AX191" s="53"/>
    </row>
    <row r="192" spans="39:50">
      <c r="AM192" s="262"/>
      <c r="AN192" s="302"/>
      <c r="AO192" s="53"/>
      <c r="AP192" s="262"/>
      <c r="AQ192" s="73"/>
      <c r="AV192" s="302"/>
      <c r="AW192" s="302"/>
      <c r="AX192" s="53"/>
    </row>
    <row r="193" spans="31:50">
      <c r="AM193" s="262"/>
      <c r="AN193" s="302"/>
      <c r="AO193" s="53"/>
      <c r="AP193" s="262"/>
      <c r="AQ193" s="73"/>
      <c r="AV193" s="302"/>
      <c r="AW193" s="302"/>
      <c r="AX193" s="53"/>
    </row>
    <row r="194" spans="31:50">
      <c r="AM194" s="262"/>
      <c r="AN194" s="302"/>
      <c r="AO194" s="53"/>
      <c r="AP194" s="262"/>
      <c r="AQ194" s="73"/>
      <c r="AV194" s="302"/>
      <c r="AW194" s="302"/>
      <c r="AX194" s="53"/>
    </row>
    <row r="195" spans="31:50">
      <c r="AM195" s="262"/>
      <c r="AN195" s="302"/>
      <c r="AO195" s="53"/>
      <c r="AP195" s="262"/>
      <c r="AQ195" s="73"/>
      <c r="AV195" s="302"/>
      <c r="AW195" s="302"/>
      <c r="AX195" s="53"/>
    </row>
    <row r="196" spans="31:50">
      <c r="AM196" s="262"/>
      <c r="AN196" s="302"/>
      <c r="AO196" s="53"/>
      <c r="AP196" s="262"/>
      <c r="AQ196" s="73"/>
      <c r="AV196" s="302"/>
      <c r="AW196" s="302"/>
      <c r="AX196" s="53"/>
    </row>
    <row r="197" spans="31:50">
      <c r="AM197" s="262"/>
      <c r="AN197" s="302"/>
      <c r="AO197" s="53"/>
      <c r="AP197" s="262"/>
      <c r="AQ197" s="73"/>
      <c r="AV197" s="302"/>
      <c r="AW197" s="302"/>
      <c r="AX197" s="53"/>
    </row>
    <row r="198" spans="31:50">
      <c r="AM198" s="262"/>
      <c r="AN198" s="302"/>
      <c r="AO198" s="53"/>
      <c r="AP198" s="262"/>
      <c r="AQ198" s="73"/>
      <c r="AV198" s="302"/>
      <c r="AW198" s="302"/>
      <c r="AX198" s="53"/>
    </row>
    <row r="199" spans="31:50">
      <c r="AM199" s="262"/>
      <c r="AN199" s="302"/>
      <c r="AO199" s="53"/>
      <c r="AP199" s="262"/>
      <c r="AQ199" s="73"/>
      <c r="AV199" s="302"/>
      <c r="AW199" s="302"/>
      <c r="AX199" s="53"/>
    </row>
    <row r="200" spans="31:50">
      <c r="AM200" s="262"/>
      <c r="AN200" s="302"/>
      <c r="AO200" s="53"/>
      <c r="AP200" s="262"/>
      <c r="AQ200" s="73"/>
      <c r="AV200" s="302"/>
      <c r="AW200" s="302"/>
      <c r="AX200" s="53"/>
    </row>
    <row r="201" spans="31:50">
      <c r="AM201" s="262"/>
      <c r="AN201" s="302"/>
      <c r="AO201" s="53"/>
      <c r="AP201" s="262"/>
      <c r="AQ201" s="73"/>
      <c r="AV201" s="302"/>
      <c r="AW201" s="302"/>
      <c r="AX201" s="53"/>
    </row>
    <row r="202" spans="31:50">
      <c r="AM202" s="262"/>
      <c r="AN202" s="302"/>
      <c r="AO202" s="53"/>
      <c r="AP202" s="262"/>
      <c r="AQ202" s="73"/>
      <c r="AV202" s="302"/>
      <c r="AW202" s="302"/>
      <c r="AX202" s="53"/>
    </row>
    <row r="203" spans="31:50">
      <c r="AM203" s="262"/>
      <c r="AN203" s="302"/>
      <c r="AO203" s="53"/>
      <c r="AP203" s="262"/>
      <c r="AQ203" s="73"/>
      <c r="AV203" s="302"/>
      <c r="AW203" s="302"/>
      <c r="AX203" s="53"/>
    </row>
    <row r="204" spans="31:50">
      <c r="AM204" s="262"/>
      <c r="AN204" s="302"/>
      <c r="AO204" s="53"/>
      <c r="AP204" s="262"/>
      <c r="AQ204" s="73"/>
      <c r="AV204" s="302"/>
      <c r="AW204" s="302"/>
      <c r="AX204" s="53"/>
    </row>
    <row r="205" spans="31:50">
      <c r="AM205" s="262"/>
      <c r="AN205" s="302"/>
      <c r="AO205" s="53"/>
      <c r="AP205" s="262"/>
      <c r="AQ205" s="73"/>
      <c r="AV205" s="302"/>
      <c r="AW205" s="302"/>
      <c r="AX205" s="53"/>
    </row>
    <row r="206" spans="31:50">
      <c r="AM206" s="262"/>
      <c r="AN206" s="302"/>
      <c r="AO206" s="53"/>
      <c r="AP206" s="262"/>
      <c r="AQ206" s="73"/>
      <c r="AV206" s="302"/>
      <c r="AW206" s="302"/>
      <c r="AX206" s="53"/>
    </row>
    <row r="207" spans="31:50">
      <c r="AM207" s="262"/>
      <c r="AN207" s="302"/>
      <c r="AO207" s="53"/>
      <c r="AP207" s="262"/>
      <c r="AQ207" s="73"/>
      <c r="AV207" s="302"/>
      <c r="AW207" s="302"/>
      <c r="AX207" s="53"/>
    </row>
    <row r="208" spans="31:50">
      <c r="AE208" t="s">
        <v>1478</v>
      </c>
      <c r="AM208" s="262"/>
      <c r="AN208" s="302"/>
      <c r="AO208" s="53"/>
      <c r="AP208" s="262"/>
      <c r="AQ208" s="73"/>
      <c r="AV208" s="302"/>
      <c r="AW208" s="302"/>
      <c r="AX208" s="53"/>
    </row>
    <row r="209" spans="39:50">
      <c r="AM209" s="262"/>
      <c r="AN209" s="302"/>
      <c r="AO209" s="53"/>
      <c r="AP209" s="262"/>
      <c r="AQ209" s="73"/>
      <c r="AV209" s="302"/>
      <c r="AW209" s="302"/>
      <c r="AX209" s="53"/>
    </row>
    <row r="210" spans="39:50">
      <c r="AM210" s="262"/>
      <c r="AN210" s="302"/>
      <c r="AO210" s="53"/>
      <c r="AP210" s="262"/>
      <c r="AQ210" s="73"/>
      <c r="AV210" s="302"/>
      <c r="AW210" s="302"/>
      <c r="AX210" s="53"/>
    </row>
    <row r="211" spans="39:50">
      <c r="AM211" s="262"/>
      <c r="AN211" s="302"/>
      <c r="AO211" s="53"/>
      <c r="AP211" s="262"/>
      <c r="AQ211" s="73"/>
      <c r="AV211" s="302"/>
      <c r="AW211" s="302"/>
      <c r="AX211" s="53"/>
    </row>
    <row r="212" spans="39:50">
      <c r="AM212" s="262"/>
      <c r="AN212" s="302"/>
      <c r="AO212" s="53"/>
      <c r="AP212" s="262"/>
      <c r="AQ212" s="73"/>
      <c r="AV212" s="302"/>
      <c r="AW212" s="302"/>
      <c r="AX212" s="53"/>
    </row>
    <row r="213" spans="39:50">
      <c r="AM213" s="262"/>
      <c r="AN213" s="302"/>
      <c r="AO213" s="53"/>
      <c r="AP213" s="262"/>
      <c r="AQ213" s="73"/>
      <c r="AV213" s="302"/>
      <c r="AW213" s="302"/>
      <c r="AX213" s="53"/>
    </row>
    <row r="214" spans="39:50">
      <c r="AM214" s="262"/>
      <c r="AN214" s="302"/>
      <c r="AO214" s="53"/>
      <c r="AP214" s="262"/>
      <c r="AQ214" s="73"/>
      <c r="AV214" s="302"/>
      <c r="AW214" s="302"/>
      <c r="AX214" s="53"/>
    </row>
    <row r="215" spans="39:50">
      <c r="AM215" s="262"/>
      <c r="AN215" s="302"/>
      <c r="AO215" s="53"/>
      <c r="AP215" s="262"/>
      <c r="AQ215" s="73"/>
      <c r="AV215" s="302"/>
      <c r="AW215" s="302"/>
      <c r="AX215" s="53"/>
    </row>
    <row r="216" spans="39:50">
      <c r="AM216" s="262"/>
      <c r="AN216" s="302"/>
      <c r="AO216" s="53"/>
      <c r="AP216" s="262"/>
      <c r="AQ216" s="73"/>
      <c r="AV216" s="302"/>
      <c r="AW216" s="302"/>
      <c r="AX216" s="53"/>
    </row>
    <row r="217" spans="39:50">
      <c r="AM217" s="262"/>
      <c r="AN217" s="302"/>
      <c r="AO217" s="53"/>
      <c r="AP217" s="262"/>
      <c r="AQ217" s="73"/>
      <c r="AV217" s="302"/>
      <c r="AW217" s="302"/>
      <c r="AX217" s="53"/>
    </row>
    <row r="218" spans="39:50">
      <c r="AM218" s="262"/>
      <c r="AN218" s="302"/>
      <c r="AO218" s="53"/>
      <c r="AP218" s="262"/>
      <c r="AQ218" s="73"/>
      <c r="AV218" s="302"/>
      <c r="AW218" s="302"/>
      <c r="AX218" s="53"/>
    </row>
    <row r="219" spans="39:50">
      <c r="AM219" s="262"/>
      <c r="AN219" s="302"/>
      <c r="AO219" s="53"/>
      <c r="AP219" s="262"/>
      <c r="AQ219" s="73"/>
      <c r="AV219" s="302"/>
      <c r="AW219" s="302"/>
      <c r="AX219" s="53"/>
    </row>
    <row r="220" spans="39:50">
      <c r="AM220" s="262"/>
      <c r="AN220" s="302"/>
      <c r="AO220" s="53"/>
      <c r="AP220" s="262"/>
      <c r="AQ220" s="73"/>
      <c r="AV220" s="302"/>
      <c r="AW220" s="302"/>
      <c r="AX220" s="53"/>
    </row>
    <row r="221" spans="39:50">
      <c r="AM221" s="262"/>
      <c r="AN221" s="302"/>
      <c r="AO221" s="53"/>
      <c r="AP221" s="262"/>
      <c r="AQ221" s="73"/>
      <c r="AV221" s="302"/>
      <c r="AW221" s="302"/>
      <c r="AX221" s="53"/>
    </row>
    <row r="222" spans="39:50">
      <c r="AM222" s="262"/>
      <c r="AN222" s="302"/>
      <c r="AO222" s="53"/>
      <c r="AP222" s="262"/>
      <c r="AQ222" s="73"/>
      <c r="AV222" s="302"/>
      <c r="AW222" s="302"/>
      <c r="AX222" s="53"/>
    </row>
    <row r="223" spans="39:50">
      <c r="AM223" s="262"/>
      <c r="AN223" s="302"/>
      <c r="AO223" s="53"/>
      <c r="AP223" s="262"/>
      <c r="AQ223" s="73"/>
      <c r="AV223" s="302"/>
      <c r="AW223" s="302"/>
      <c r="AX223" s="53"/>
    </row>
    <row r="224" spans="39:50">
      <c r="AM224" s="262"/>
      <c r="AN224" s="302"/>
      <c r="AO224" s="53"/>
      <c r="AP224" s="262"/>
      <c r="AQ224" s="73"/>
      <c r="AV224" s="302"/>
      <c r="AW224" s="302"/>
      <c r="AX224" s="53"/>
    </row>
    <row r="225" spans="39:49">
      <c r="AM225" s="262"/>
      <c r="AN225" s="302"/>
      <c r="AO225" s="53"/>
      <c r="AP225" s="262"/>
      <c r="AQ225" s="73"/>
      <c r="AV225" s="259"/>
      <c r="AW225" s="259"/>
    </row>
    <row r="226" spans="39:49">
      <c r="AM226" s="262"/>
      <c r="AN226" s="302"/>
      <c r="AO226" s="53"/>
      <c r="AP226" s="262"/>
      <c r="AQ226" s="73"/>
      <c r="AV226" s="259"/>
      <c r="AW226" s="259"/>
    </row>
    <row r="227" spans="39:49">
      <c r="AM227" s="262"/>
      <c r="AN227" s="302"/>
      <c r="AO227" s="53"/>
      <c r="AP227" s="262"/>
      <c r="AQ227" s="73"/>
      <c r="AV227" s="259"/>
      <c r="AW227" s="259"/>
    </row>
    <row r="228" spans="39:49">
      <c r="AM228" s="262"/>
      <c r="AN228" s="302"/>
      <c r="AO228" s="53"/>
      <c r="AP228" s="262"/>
      <c r="AQ228" s="73"/>
      <c r="AV228" s="259"/>
      <c r="AW228" s="259"/>
    </row>
  </sheetData>
  <mergeCells count="33">
    <mergeCell ref="P1:W2"/>
    <mergeCell ref="X1:AK1"/>
    <mergeCell ref="X2:AD2"/>
    <mergeCell ref="AF2:AK2"/>
    <mergeCell ref="D3:D4"/>
    <mergeCell ref="E3:E4"/>
    <mergeCell ref="L3:L4"/>
    <mergeCell ref="X3:Z3"/>
    <mergeCell ref="P3:P4"/>
    <mergeCell ref="Q3:Q4"/>
    <mergeCell ref="R3:R4"/>
    <mergeCell ref="S3:S4"/>
    <mergeCell ref="T3:T4"/>
    <mergeCell ref="U3:U4"/>
    <mergeCell ref="V3:V4"/>
    <mergeCell ref="W3:W4"/>
    <mergeCell ref="B1:B4"/>
    <mergeCell ref="C1:C4"/>
    <mergeCell ref="K1:L2"/>
    <mergeCell ref="M1:O2"/>
    <mergeCell ref="F3:F4"/>
    <mergeCell ref="G3:G4"/>
    <mergeCell ref="H3:H4"/>
    <mergeCell ref="I3:I4"/>
    <mergeCell ref="K3:K4"/>
    <mergeCell ref="M3:M4"/>
    <mergeCell ref="N3:N4"/>
    <mergeCell ref="O3:O4"/>
    <mergeCell ref="AC3:AD3"/>
    <mergeCell ref="AF3:AG3"/>
    <mergeCell ref="AJ3:AK3"/>
    <mergeCell ref="AM4:AN4"/>
    <mergeCell ref="AP4:AQ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G2311"/>
  <sheetViews>
    <sheetView zoomScale="75" zoomScaleNormal="75" workbookViewId="0">
      <selection activeCell="W51" sqref="W51"/>
    </sheetView>
  </sheetViews>
  <sheetFormatPr defaultRowHeight="15"/>
  <cols>
    <col min="2" max="2" width="8.28515625" customWidth="1"/>
    <col min="3" max="3" width="7.5703125" customWidth="1"/>
    <col min="4" max="4" width="9.5703125" style="51" customWidth="1"/>
    <col min="5" max="5" width="5.28515625" customWidth="1"/>
    <col min="6" max="6" width="7.28515625" style="57" customWidth="1"/>
    <col min="7" max="7" width="6.5703125" style="5" customWidth="1"/>
    <col min="8" max="8" width="18" customWidth="1"/>
    <col min="9" max="9" width="9.140625" style="2" customWidth="1"/>
    <col min="10" max="10" width="6" style="2" customWidth="1"/>
    <col min="11" max="11" width="9.140625" customWidth="1"/>
    <col min="12" max="12" width="6" customWidth="1"/>
    <col min="13" max="13" width="5" customWidth="1"/>
    <col min="14" max="14" width="26.85546875" customWidth="1"/>
    <col min="15" max="15" width="5.5703125" customWidth="1"/>
    <col min="16" max="16" width="7.28515625" customWidth="1"/>
    <col min="17" max="17" width="5.140625" customWidth="1"/>
    <col min="18" max="18" width="9.140625" style="2" customWidth="1"/>
    <col min="19" max="19" width="4.7109375" customWidth="1"/>
    <col min="20" max="20" width="4.42578125" customWidth="1"/>
    <col min="21" max="21" width="6.28515625" style="2" customWidth="1"/>
    <col min="22" max="22" width="3.7109375" style="73" customWidth="1"/>
    <col min="23" max="23" width="7.85546875" customWidth="1"/>
    <col min="24" max="24" width="6.7109375" style="3" customWidth="1"/>
    <col min="25" max="25" width="8.42578125" style="2" customWidth="1"/>
    <col min="26" max="26" width="4.7109375" customWidth="1"/>
    <col min="27" max="27" width="4.28515625" customWidth="1"/>
    <col min="28" max="28" width="8.28515625" style="2" customWidth="1"/>
    <col min="29" max="29" width="5" customWidth="1"/>
    <col min="30" max="30" width="4.85546875" customWidth="1"/>
    <col min="31" max="31" width="8" customWidth="1"/>
    <col min="32" max="32" width="7.5703125" customWidth="1"/>
    <col min="33" max="33" width="9.140625" customWidth="1"/>
    <col min="35" max="35" width="7.42578125" customWidth="1"/>
    <col min="36" max="36" width="7.140625" customWidth="1"/>
    <col min="37" max="39" width="7.85546875" customWidth="1"/>
    <col min="40" max="42" width="7.85546875" style="5" customWidth="1"/>
    <col min="43" max="43" width="16.28515625" style="5" customWidth="1"/>
    <col min="44" max="45" width="7.85546875" style="5" customWidth="1"/>
    <col min="46" max="46" width="11.85546875" customWidth="1"/>
    <col min="51" max="51" width="14.140625" customWidth="1"/>
    <col min="85" max="85" width="11" customWidth="1"/>
  </cols>
  <sheetData>
    <row r="1" spans="1:62">
      <c r="A1" t="s">
        <v>1798</v>
      </c>
      <c r="D1" s="66"/>
      <c r="E1" s="7"/>
      <c r="F1" s="78"/>
      <c r="G1" s="129"/>
      <c r="H1" s="7"/>
      <c r="I1" s="53"/>
      <c r="J1" s="71"/>
      <c r="Q1" t="s">
        <v>1502</v>
      </c>
      <c r="V1" s="73" t="s">
        <v>1503</v>
      </c>
      <c r="AT1" s="116" t="s">
        <v>1687</v>
      </c>
    </row>
    <row r="2" spans="1:62">
      <c r="D2" s="66"/>
      <c r="E2" s="7"/>
      <c r="F2" s="78"/>
      <c r="G2" s="129"/>
      <c r="H2" s="7"/>
      <c r="I2" s="53"/>
      <c r="J2" s="71"/>
      <c r="L2" s="61" t="s">
        <v>1504</v>
      </c>
      <c r="V2" s="438" t="s">
        <v>1505</v>
      </c>
      <c r="W2" s="4"/>
      <c r="X2" s="439"/>
      <c r="Y2" s="440"/>
      <c r="AK2" t="s">
        <v>1506</v>
      </c>
      <c r="AV2" t="s">
        <v>1689</v>
      </c>
    </row>
    <row r="3" spans="1:62">
      <c r="D3" s="66"/>
      <c r="E3" s="7"/>
      <c r="F3" s="78"/>
      <c r="G3" s="129"/>
      <c r="H3" s="7"/>
      <c r="I3" s="53"/>
      <c r="J3" s="71"/>
      <c r="L3" s="441" t="s">
        <v>1507</v>
      </c>
      <c r="Q3" s="442" t="s">
        <v>1508</v>
      </c>
      <c r="W3" s="441" t="s">
        <v>1509</v>
      </c>
      <c r="AK3" t="s">
        <v>1510</v>
      </c>
    </row>
    <row r="4" spans="1:62">
      <c r="D4" s="66"/>
      <c r="E4" s="7"/>
      <c r="F4" s="78"/>
      <c r="G4" s="129"/>
      <c r="H4" s="71"/>
      <c r="I4" s="516"/>
      <c r="J4" s="71"/>
      <c r="L4" s="443" t="s">
        <v>1511</v>
      </c>
      <c r="R4" s="2" t="s">
        <v>1512</v>
      </c>
      <c r="U4" s="2" t="s">
        <v>1513</v>
      </c>
      <c r="AK4" t="s">
        <v>1514</v>
      </c>
      <c r="AT4" t="s">
        <v>1688</v>
      </c>
    </row>
    <row r="5" spans="1:62">
      <c r="D5" s="66"/>
      <c r="E5" s="7"/>
      <c r="F5" s="78"/>
      <c r="G5" s="129"/>
      <c r="H5" s="7"/>
      <c r="I5" s="516"/>
      <c r="J5" s="71"/>
      <c r="U5" s="2" t="s">
        <v>1515</v>
      </c>
      <c r="AK5" t="s">
        <v>1516</v>
      </c>
      <c r="AT5" s="51">
        <v>35.516349999999996</v>
      </c>
      <c r="AV5" s="51">
        <v>15.400000000000091</v>
      </c>
    </row>
    <row r="6" spans="1:62" ht="30">
      <c r="C6" s="444"/>
      <c r="D6" s="444"/>
      <c r="E6" s="445"/>
      <c r="F6" s="446"/>
      <c r="G6" s="447" t="s">
        <v>4</v>
      </c>
      <c r="H6" s="448" t="s">
        <v>5</v>
      </c>
      <c r="I6" s="449" t="s">
        <v>1517</v>
      </c>
      <c r="J6" s="450"/>
      <c r="K6" s="451"/>
      <c r="L6" s="445"/>
      <c r="M6" s="452"/>
      <c r="N6" s="445"/>
      <c r="O6" s="445"/>
      <c r="P6" s="445"/>
      <c r="Q6" s="445"/>
      <c r="R6" s="450"/>
      <c r="S6" s="445"/>
      <c r="T6" s="445"/>
      <c r="U6" s="450"/>
      <c r="V6" s="451"/>
      <c r="W6" s="445"/>
      <c r="X6" s="453"/>
      <c r="Y6" s="450"/>
      <c r="Z6" s="445"/>
      <c r="AA6" s="445"/>
      <c r="AB6" s="450"/>
      <c r="AC6" s="445"/>
      <c r="AD6" s="445"/>
      <c r="AE6" s="445"/>
      <c r="AF6" s="445"/>
      <c r="AG6" s="450" t="s">
        <v>1518</v>
      </c>
      <c r="AH6" s="454"/>
      <c r="AI6" s="451"/>
      <c r="AJ6" s="451"/>
      <c r="AK6" s="451"/>
      <c r="AL6" s="451"/>
      <c r="AM6" s="451"/>
      <c r="AN6" s="455"/>
      <c r="AO6" s="455"/>
      <c r="AP6" s="455"/>
      <c r="AQ6" s="455"/>
      <c r="AR6" s="455"/>
      <c r="AS6" s="455"/>
      <c r="AT6" s="51">
        <v>32.615769999999998</v>
      </c>
      <c r="AV6" s="51">
        <v>15.350000000000136</v>
      </c>
    </row>
    <row r="7" spans="1:62">
      <c r="C7" s="444" t="s">
        <v>1519</v>
      </c>
      <c r="D7" s="456"/>
      <c r="E7" s="457"/>
      <c r="F7" s="458"/>
      <c r="G7" s="459" t="s">
        <v>14</v>
      </c>
      <c r="H7" s="457"/>
      <c r="I7" s="460"/>
      <c r="J7" s="461"/>
      <c r="K7" s="739" t="s">
        <v>1520</v>
      </c>
      <c r="L7" s="739"/>
      <c r="M7" s="739"/>
      <c r="N7" s="462"/>
      <c r="O7" s="462"/>
      <c r="P7" s="462"/>
      <c r="Q7" s="462"/>
      <c r="R7" s="463" t="s">
        <v>1521</v>
      </c>
      <c r="S7" s="462"/>
      <c r="T7" s="462"/>
      <c r="U7" s="461" t="s">
        <v>1522</v>
      </c>
      <c r="V7" s="464"/>
      <c r="W7" s="739" t="s">
        <v>1523</v>
      </c>
      <c r="X7" s="739"/>
      <c r="Z7" s="465" t="s">
        <v>1524</v>
      </c>
      <c r="AA7" s="462"/>
      <c r="AB7" s="463" t="s">
        <v>1525</v>
      </c>
      <c r="AC7" s="462"/>
      <c r="AD7" s="462"/>
      <c r="AE7" s="739" t="s">
        <v>1526</v>
      </c>
      <c r="AF7" s="740"/>
      <c r="AG7" s="460" t="s">
        <v>1527</v>
      </c>
      <c r="AH7" s="450"/>
      <c r="AI7" s="451"/>
      <c r="AJ7" s="451"/>
      <c r="AK7" s="451"/>
      <c r="AL7" s="451"/>
      <c r="AM7" s="451"/>
      <c r="AN7" s="455"/>
      <c r="AO7" s="455"/>
      <c r="AP7" s="455"/>
      <c r="AQ7" s="455"/>
      <c r="AR7" s="455"/>
      <c r="AS7" s="455"/>
      <c r="AT7" s="51">
        <v>28.784950000000002</v>
      </c>
      <c r="AV7" s="51">
        <v>15.300000000000182</v>
      </c>
    </row>
    <row r="8" spans="1:62" s="152" customFormat="1" ht="80.25">
      <c r="C8" s="466" t="s">
        <v>1529</v>
      </c>
      <c r="D8" s="467" t="s">
        <v>1531</v>
      </c>
      <c r="E8" s="468" t="s">
        <v>1532</v>
      </c>
      <c r="F8" s="469" t="s">
        <v>29</v>
      </c>
      <c r="G8" s="470" t="s">
        <v>30</v>
      </c>
      <c r="H8" s="471" t="s">
        <v>31</v>
      </c>
      <c r="I8" s="472" t="s">
        <v>1533</v>
      </c>
      <c r="J8" s="473" t="s">
        <v>1534</v>
      </c>
      <c r="K8" s="471" t="s">
        <v>35</v>
      </c>
      <c r="L8" s="471" t="s">
        <v>36</v>
      </c>
      <c r="M8" s="474" t="s">
        <v>37</v>
      </c>
      <c r="N8" s="471" t="s">
        <v>1535</v>
      </c>
      <c r="O8" s="471"/>
      <c r="P8" s="468" t="s">
        <v>1536</v>
      </c>
      <c r="Q8" s="468" t="s">
        <v>1537</v>
      </c>
      <c r="R8" s="473" t="s">
        <v>35</v>
      </c>
      <c r="S8" s="471" t="s">
        <v>36</v>
      </c>
      <c r="T8" s="471" t="s">
        <v>37</v>
      </c>
      <c r="U8" s="472" t="s">
        <v>1538</v>
      </c>
      <c r="V8" s="468" t="s">
        <v>1539</v>
      </c>
      <c r="W8" s="471" t="s">
        <v>1540</v>
      </c>
      <c r="X8" s="475" t="s">
        <v>1541</v>
      </c>
      <c r="Y8" s="473" t="s">
        <v>35</v>
      </c>
      <c r="Z8" s="471" t="s">
        <v>36</v>
      </c>
      <c r="AA8" s="471" t="s">
        <v>37</v>
      </c>
      <c r="AB8" s="473" t="s">
        <v>35</v>
      </c>
      <c r="AC8" s="471" t="s">
        <v>36</v>
      </c>
      <c r="AD8" s="471" t="s">
        <v>37</v>
      </c>
      <c r="AE8" s="476" t="s">
        <v>36</v>
      </c>
      <c r="AF8" s="476" t="s">
        <v>44</v>
      </c>
      <c r="AG8" s="473" t="s">
        <v>515</v>
      </c>
      <c r="AH8" s="477" t="s">
        <v>46</v>
      </c>
      <c r="AI8" s="478"/>
      <c r="AJ8" s="478"/>
      <c r="AK8" s="479" t="s">
        <v>1542</v>
      </c>
      <c r="AL8" s="479"/>
      <c r="AM8" s="479"/>
      <c r="AN8" s="480" t="s">
        <v>1543</v>
      </c>
      <c r="AO8" s="480" t="s">
        <v>1544</v>
      </c>
      <c r="AP8" s="480"/>
      <c r="AQ8" s="480"/>
      <c r="AR8" s="480"/>
      <c r="AS8" s="480"/>
      <c r="AT8" s="51">
        <v>31.563970000000001</v>
      </c>
      <c r="AU8"/>
      <c r="AV8" s="51">
        <v>15.25</v>
      </c>
      <c r="AY8" s="152" t="s">
        <v>1698</v>
      </c>
      <c r="AZ8" s="152" t="s">
        <v>1700</v>
      </c>
      <c r="BA8" s="152" t="s">
        <v>1699</v>
      </c>
    </row>
    <row r="9" spans="1:62">
      <c r="AL9" t="s">
        <v>1545</v>
      </c>
      <c r="AT9" s="51">
        <v>27.202299999999997</v>
      </c>
      <c r="AV9" s="51">
        <v>15.200000000000045</v>
      </c>
      <c r="AY9" t="s">
        <v>1584</v>
      </c>
      <c r="AZ9">
        <v>6.6600000000000819</v>
      </c>
    </row>
    <row r="10" spans="1:62" ht="15.75" thickBot="1">
      <c r="AL10" t="s">
        <v>36</v>
      </c>
      <c r="AM10" s="481" t="s">
        <v>37</v>
      </c>
      <c r="AT10" s="51">
        <v>29.72232</v>
      </c>
      <c r="AV10" s="51">
        <v>15.150000000000091</v>
      </c>
      <c r="AY10" t="s">
        <v>1606</v>
      </c>
      <c r="AZ10">
        <v>4.1000000000001364</v>
      </c>
      <c r="BA10">
        <v>2.5599999999999454</v>
      </c>
    </row>
    <row r="11" spans="1:62">
      <c r="C11">
        <v>1.1000000000000001</v>
      </c>
      <c r="D11" s="97">
        <v>15.320000000000164</v>
      </c>
      <c r="E11">
        <v>1</v>
      </c>
      <c r="F11" s="57">
        <v>0.23799999999999999</v>
      </c>
      <c r="G11" s="67">
        <v>29.1</v>
      </c>
      <c r="H11" s="482" t="s">
        <v>1546</v>
      </c>
      <c r="I11" s="97"/>
      <c r="J11" s="2">
        <v>1</v>
      </c>
      <c r="K11" t="s">
        <v>85</v>
      </c>
      <c r="L11" s="443">
        <v>319</v>
      </c>
      <c r="M11">
        <v>71</v>
      </c>
      <c r="N11" t="s">
        <v>1547</v>
      </c>
      <c r="O11" t="s">
        <v>1548</v>
      </c>
      <c r="P11">
        <f>IF( IF(L11 &gt; S11,  (S11+360)-L11, S11-L11 ) &gt;180, 360-IF(L11 &gt; S11,  (S11+360)-L11, S11-L11 ), IF(L11 &gt; S11,  (S11+360)-L11, S11-L11 ))</f>
        <v>49</v>
      </c>
      <c r="Q11" t="s">
        <v>1549</v>
      </c>
      <c r="R11" s="483" t="s">
        <v>180</v>
      </c>
      <c r="S11">
        <v>8</v>
      </c>
      <c r="T11">
        <v>-26</v>
      </c>
      <c r="U11" s="484">
        <f>360-AVERAGE(L11:L12)</f>
        <v>31</v>
      </c>
      <c r="V11" s="73" t="s">
        <v>1550</v>
      </c>
      <c r="W11">
        <f t="shared" ref="W11:W51" si="0">IF(ISBLANK(S11),"",IF((S11+U11)&gt;360,S11+U11-360,S11+U11))</f>
        <v>39</v>
      </c>
      <c r="X11" s="3">
        <f>IF(ISBLANK(T11),"",T11)</f>
        <v>-26</v>
      </c>
      <c r="AB11" s="483" t="s">
        <v>390</v>
      </c>
      <c r="AC11">
        <v>106</v>
      </c>
      <c r="AD11">
        <v>-17</v>
      </c>
      <c r="AE11" t="e">
        <f t="shared" ref="AE11:AE21" si="1">IF(LEFT(AG11,1)="s", NA(), IF((AC11+U11)&gt;360,AC11+U11-360,AC11+U11))</f>
        <v>#N/A</v>
      </c>
      <c r="AF11" t="e">
        <f t="shared" ref="AF11:AF21" si="2">IF(LEFT(AG11,1)="s",NA(),(AD11))</f>
        <v>#N/A</v>
      </c>
      <c r="AG11" t="s">
        <v>167</v>
      </c>
      <c r="AH11" t="s">
        <v>67</v>
      </c>
      <c r="AI11" s="486"/>
      <c r="AJ11" s="487"/>
      <c r="AK11">
        <v>67</v>
      </c>
      <c r="AL11" s="53"/>
      <c r="AM11" s="220"/>
      <c r="AT11" s="51">
        <v>34.157289999999996</v>
      </c>
      <c r="AV11" s="51">
        <v>15.100000000000136</v>
      </c>
      <c r="AY11" t="s">
        <v>1637</v>
      </c>
      <c r="AZ11">
        <v>0</v>
      </c>
      <c r="BA11">
        <v>4.1000000000001364</v>
      </c>
    </row>
    <row r="12" spans="1:62">
      <c r="C12">
        <v>2.1</v>
      </c>
      <c r="D12" s="97">
        <v>14.759999999999991</v>
      </c>
      <c r="E12">
        <v>1</v>
      </c>
      <c r="F12" s="57">
        <v>0.23499999999999999</v>
      </c>
      <c r="G12" s="67">
        <v>26.4</v>
      </c>
      <c r="H12" s="482" t="s">
        <v>1551</v>
      </c>
      <c r="I12" s="97" t="s">
        <v>308</v>
      </c>
      <c r="J12" s="2">
        <v>1.7</v>
      </c>
      <c r="K12" t="s">
        <v>1552</v>
      </c>
      <c r="L12" s="443">
        <v>339</v>
      </c>
      <c r="M12">
        <v>63</v>
      </c>
      <c r="N12" s="7" t="s">
        <v>1553</v>
      </c>
      <c r="O12" s="7" t="s">
        <v>1548</v>
      </c>
      <c r="Q12" s="7"/>
      <c r="R12" s="71" t="s">
        <v>1554</v>
      </c>
      <c r="S12" s="7"/>
      <c r="T12" s="7"/>
      <c r="U12" s="484">
        <f>360-AVERAGE(L11:L12)</f>
        <v>31</v>
      </c>
      <c r="V12" s="73" t="s">
        <v>1550</v>
      </c>
      <c r="W12" t="str">
        <f t="shared" si="0"/>
        <v/>
      </c>
      <c r="Y12" s="2" t="s">
        <v>1555</v>
      </c>
      <c r="Z12" s="7">
        <v>338</v>
      </c>
      <c r="AA12">
        <v>87</v>
      </c>
      <c r="AB12" s="493" t="s">
        <v>414</v>
      </c>
      <c r="AC12" s="7">
        <v>275</v>
      </c>
      <c r="AD12" s="7">
        <v>-10</v>
      </c>
      <c r="AE12">
        <f t="shared" si="1"/>
        <v>306</v>
      </c>
      <c r="AF12">
        <f t="shared" si="2"/>
        <v>-10</v>
      </c>
      <c r="AG12" t="s">
        <v>159</v>
      </c>
      <c r="AH12" t="s">
        <v>67</v>
      </c>
      <c r="AI12" s="488"/>
      <c r="AJ12" s="77"/>
      <c r="AL12" s="67">
        <f>222.3-180</f>
        <v>42.300000000000011</v>
      </c>
      <c r="AM12" s="5">
        <v>-31.9</v>
      </c>
      <c r="AN12" s="5">
        <v>64.5</v>
      </c>
      <c r="AP12" s="67" t="s">
        <v>69</v>
      </c>
      <c r="AQ12" s="67"/>
      <c r="AT12" s="51">
        <v>32.844699999999996</v>
      </c>
      <c r="AV12" s="51">
        <v>15.050000000000182</v>
      </c>
      <c r="AY12" t="s">
        <v>1682</v>
      </c>
      <c r="AZ12">
        <v>-10.25</v>
      </c>
      <c r="BA12">
        <v>10.25</v>
      </c>
    </row>
    <row r="13" spans="1:62">
      <c r="C13">
        <v>3.1</v>
      </c>
      <c r="D13" s="97">
        <v>14.269999999999982</v>
      </c>
      <c r="F13" s="57">
        <v>0.23499999999999999</v>
      </c>
      <c r="G13" s="67">
        <v>28.2</v>
      </c>
      <c r="H13" s="482" t="s">
        <v>1551</v>
      </c>
      <c r="I13" s="2" t="s">
        <v>529</v>
      </c>
      <c r="J13" s="2">
        <v>1</v>
      </c>
      <c r="K13" t="s">
        <v>1065</v>
      </c>
      <c r="L13" s="7">
        <v>273</v>
      </c>
      <c r="M13" s="7">
        <v>56</v>
      </c>
      <c r="N13" t="s">
        <v>1556</v>
      </c>
      <c r="O13" s="7"/>
      <c r="P13" s="489">
        <f t="shared" ref="P13:P23" si="3">IF( IF(L13 &gt; S13,  (S13+360)-L13, S13-L13 ) &gt;180, 360-IF(L13 &gt; S13,  (S13+360)-L13, S13-L13 ), IF(L13 &gt; S13,  (S13+360)-L13, S13-L13 ))</f>
        <v>73</v>
      </c>
      <c r="Q13" s="489" t="s">
        <v>454</v>
      </c>
      <c r="R13" s="483" t="s">
        <v>227</v>
      </c>
      <c r="S13">
        <v>346</v>
      </c>
      <c r="T13">
        <v>36</v>
      </c>
      <c r="U13" s="2">
        <f>IF(ISBLANK(L13),"non",360-L13)</f>
        <v>87</v>
      </c>
      <c r="V13" s="73" t="s">
        <v>454</v>
      </c>
      <c r="W13" s="441">
        <f t="shared" si="0"/>
        <v>73</v>
      </c>
      <c r="X13" s="3">
        <f t="shared" ref="X13:X23" si="4">IF(ISBLANK(T13),"",T13)</f>
        <v>36</v>
      </c>
      <c r="AB13" s="2" t="s">
        <v>1557</v>
      </c>
      <c r="AC13">
        <v>133</v>
      </c>
      <c r="AD13">
        <v>16</v>
      </c>
      <c r="AE13" t="e">
        <f t="shared" si="1"/>
        <v>#N/A</v>
      </c>
      <c r="AF13" t="e">
        <f t="shared" si="2"/>
        <v>#N/A</v>
      </c>
      <c r="AG13" t="s">
        <v>113</v>
      </c>
      <c r="AH13" t="s">
        <v>114</v>
      </c>
      <c r="AI13" s="490"/>
      <c r="AJ13" s="147"/>
      <c r="AK13" s="7"/>
      <c r="AL13" s="53"/>
      <c r="AM13" s="220"/>
      <c r="AN13" s="67"/>
      <c r="AO13" s="5">
        <f>X13</f>
        <v>36</v>
      </c>
      <c r="AP13" s="67"/>
      <c r="AQ13" s="67"/>
      <c r="AT13" s="51">
        <v>34.169069999999998</v>
      </c>
      <c r="AV13" s="51">
        <v>15</v>
      </c>
      <c r="AY13" t="s">
        <v>1690</v>
      </c>
      <c r="AZ13">
        <v>-19.849999999999909</v>
      </c>
      <c r="BA13">
        <v>9.5999999999999091</v>
      </c>
      <c r="BJ13" s="116"/>
    </row>
    <row r="14" spans="1:62">
      <c r="C14">
        <v>4.0999999999999996</v>
      </c>
      <c r="D14" s="97">
        <v>13.620000000000118</v>
      </c>
      <c r="E14" t="s">
        <v>1132</v>
      </c>
      <c r="F14" s="57">
        <v>0.20499999999999999</v>
      </c>
      <c r="G14" s="67">
        <v>29.3</v>
      </c>
      <c r="H14" s="482" t="s">
        <v>1551</v>
      </c>
      <c r="I14" s="97" t="s">
        <v>1558</v>
      </c>
      <c r="J14" s="2">
        <v>2</v>
      </c>
      <c r="K14" t="s">
        <v>318</v>
      </c>
      <c r="L14">
        <v>218</v>
      </c>
      <c r="M14">
        <v>73</v>
      </c>
      <c r="O14" t="s">
        <v>1548</v>
      </c>
      <c r="P14">
        <f t="shared" si="3"/>
        <v>164</v>
      </c>
      <c r="Q14" t="s">
        <v>1559</v>
      </c>
      <c r="R14" s="483" t="s">
        <v>130</v>
      </c>
      <c r="S14">
        <v>22</v>
      </c>
      <c r="T14">
        <v>19</v>
      </c>
      <c r="U14" s="2">
        <f>IF(ISBLANK(L14),"non",360-L14)</f>
        <v>142</v>
      </c>
      <c r="V14" s="73" t="s">
        <v>1550</v>
      </c>
      <c r="W14">
        <f t="shared" si="0"/>
        <v>164</v>
      </c>
      <c r="X14" s="3">
        <f t="shared" si="4"/>
        <v>19</v>
      </c>
      <c r="AB14" s="483" t="s">
        <v>245</v>
      </c>
      <c r="AC14" s="7">
        <v>284</v>
      </c>
      <c r="AD14">
        <v>5</v>
      </c>
      <c r="AE14" t="e">
        <f t="shared" si="1"/>
        <v>#N/A</v>
      </c>
      <c r="AF14" t="e">
        <f t="shared" si="2"/>
        <v>#N/A</v>
      </c>
      <c r="AG14" t="s">
        <v>113</v>
      </c>
      <c r="AH14" t="s">
        <v>114</v>
      </c>
      <c r="AI14" s="490"/>
      <c r="AJ14" s="147"/>
      <c r="AK14" s="7">
        <v>-58.2</v>
      </c>
      <c r="AL14" s="53"/>
      <c r="AM14" s="220"/>
      <c r="AN14" s="67"/>
      <c r="AP14" s="67"/>
      <c r="AQ14" s="67"/>
      <c r="AT14" s="51">
        <v>30.605589999999999</v>
      </c>
      <c r="AV14" s="51">
        <v>14.950000000000045</v>
      </c>
      <c r="AY14" t="s">
        <v>1691</v>
      </c>
      <c r="AZ14">
        <v>-26</v>
      </c>
      <c r="BA14">
        <v>6.1500000000000909</v>
      </c>
    </row>
    <row r="15" spans="1:62">
      <c r="B15" t="s">
        <v>68</v>
      </c>
      <c r="C15">
        <v>5.0999999999999996</v>
      </c>
      <c r="D15" s="97">
        <v>13.330000000000155</v>
      </c>
      <c r="F15" s="57">
        <v>0.20799999999999999</v>
      </c>
      <c r="G15" s="67">
        <v>28.9</v>
      </c>
      <c r="H15" s="482" t="s">
        <v>1551</v>
      </c>
      <c r="I15" s="97" t="s">
        <v>193</v>
      </c>
      <c r="J15" s="2">
        <v>1.7</v>
      </c>
      <c r="K15" t="s">
        <v>1552</v>
      </c>
      <c r="L15" s="61">
        <v>348</v>
      </c>
      <c r="M15">
        <v>73</v>
      </c>
      <c r="O15" s="7"/>
      <c r="P15">
        <f t="shared" si="3"/>
        <v>104</v>
      </c>
      <c r="Q15" t="s">
        <v>1549</v>
      </c>
      <c r="R15" s="483" t="s">
        <v>1261</v>
      </c>
      <c r="S15">
        <v>92</v>
      </c>
      <c r="T15">
        <v>38</v>
      </c>
      <c r="U15" s="71">
        <f>U14</f>
        <v>142</v>
      </c>
      <c r="V15" s="73" t="s">
        <v>1549</v>
      </c>
      <c r="W15" s="7">
        <f t="shared" si="0"/>
        <v>234</v>
      </c>
      <c r="X15" s="3">
        <f t="shared" si="4"/>
        <v>38</v>
      </c>
      <c r="AB15" s="2" t="s">
        <v>1263</v>
      </c>
      <c r="AC15">
        <v>272</v>
      </c>
      <c r="AD15">
        <v>-4</v>
      </c>
      <c r="AE15" t="e">
        <f t="shared" si="1"/>
        <v>#N/A</v>
      </c>
      <c r="AF15" t="e">
        <f t="shared" si="2"/>
        <v>#N/A</v>
      </c>
      <c r="AG15" t="s">
        <v>113</v>
      </c>
      <c r="AH15" t="s">
        <v>123</v>
      </c>
      <c r="AI15" s="490"/>
      <c r="AJ15" s="202"/>
      <c r="AK15" s="7">
        <v>-53.8</v>
      </c>
      <c r="AL15" s="53"/>
      <c r="AM15" s="220"/>
      <c r="AN15" s="67"/>
      <c r="AP15" s="67"/>
      <c r="AQ15" s="67"/>
      <c r="AT15" s="51">
        <v>29.287649999999996</v>
      </c>
      <c r="AV15" s="51">
        <v>14.900000000000091</v>
      </c>
      <c r="AY15" t="s">
        <v>1692</v>
      </c>
      <c r="AZ15">
        <v>-29.849999999999909</v>
      </c>
      <c r="BA15">
        <v>3.8499999999999091</v>
      </c>
    </row>
    <row r="16" spans="1:62">
      <c r="C16">
        <v>6.1</v>
      </c>
      <c r="D16" s="97">
        <v>12.800000000000182</v>
      </c>
      <c r="F16" s="57">
        <v>0.246</v>
      </c>
      <c r="G16" s="67">
        <v>27.7</v>
      </c>
      <c r="H16" s="482" t="s">
        <v>1551</v>
      </c>
      <c r="I16" s="97" t="s">
        <v>1560</v>
      </c>
      <c r="J16" s="2">
        <v>2</v>
      </c>
      <c r="K16" t="s">
        <v>1552</v>
      </c>
      <c r="L16" s="61">
        <v>314</v>
      </c>
      <c r="M16">
        <v>68</v>
      </c>
      <c r="N16" s="7"/>
      <c r="O16" s="7"/>
      <c r="P16" s="489">
        <f t="shared" si="3"/>
        <v>42</v>
      </c>
      <c r="Q16" s="158" t="s">
        <v>454</v>
      </c>
      <c r="R16" s="483" t="s">
        <v>1561</v>
      </c>
      <c r="S16" s="53">
        <v>356</v>
      </c>
      <c r="T16" s="53">
        <v>30</v>
      </c>
      <c r="U16" s="491">
        <f>U17</f>
        <v>198</v>
      </c>
      <c r="V16" s="53" t="s">
        <v>1550</v>
      </c>
      <c r="W16" s="7">
        <f t="shared" si="0"/>
        <v>194</v>
      </c>
      <c r="X16" s="3">
        <f t="shared" si="4"/>
        <v>30</v>
      </c>
      <c r="AB16" s="2" t="s">
        <v>1562</v>
      </c>
      <c r="AC16">
        <v>132</v>
      </c>
      <c r="AD16">
        <v>15</v>
      </c>
      <c r="AE16" t="e">
        <f t="shared" si="1"/>
        <v>#N/A</v>
      </c>
      <c r="AF16" t="e">
        <f t="shared" si="2"/>
        <v>#N/A</v>
      </c>
      <c r="AG16" t="s">
        <v>113</v>
      </c>
      <c r="AH16" t="s">
        <v>114</v>
      </c>
      <c r="AI16" s="490"/>
      <c r="AJ16" s="147"/>
      <c r="AK16" s="7">
        <v>-87.2</v>
      </c>
      <c r="AL16" s="53"/>
      <c r="AM16" s="220"/>
      <c r="AN16" s="67"/>
      <c r="AP16" s="67"/>
      <c r="AQ16" s="67"/>
      <c r="AT16" s="51">
        <v>29.423479999999998</v>
      </c>
      <c r="AV16" s="51">
        <v>14.850000000000136</v>
      </c>
      <c r="AY16" t="s">
        <v>1693</v>
      </c>
      <c r="AZ16">
        <v>-39.599999999999909</v>
      </c>
      <c r="BA16">
        <v>9.75</v>
      </c>
    </row>
    <row r="17" spans="2:53">
      <c r="C17">
        <v>7.1</v>
      </c>
      <c r="D17" s="97">
        <v>12.210000000000036</v>
      </c>
      <c r="F17" s="57">
        <v>0.23</v>
      </c>
      <c r="G17" s="67">
        <v>32.299999999999997</v>
      </c>
      <c r="H17" s="482" t="s">
        <v>1551</v>
      </c>
      <c r="I17" s="97" t="s">
        <v>1563</v>
      </c>
      <c r="J17" s="2">
        <v>1</v>
      </c>
      <c r="K17" t="s">
        <v>318</v>
      </c>
      <c r="L17" s="61">
        <v>159</v>
      </c>
      <c r="M17">
        <v>72</v>
      </c>
      <c r="N17" t="s">
        <v>69</v>
      </c>
      <c r="O17" s="7" t="s">
        <v>1548</v>
      </c>
      <c r="P17">
        <f t="shared" si="3"/>
        <v>161</v>
      </c>
      <c r="Q17" s="7" t="s">
        <v>1549</v>
      </c>
      <c r="R17" s="483" t="s">
        <v>414</v>
      </c>
      <c r="S17" s="53">
        <v>358</v>
      </c>
      <c r="T17" s="53">
        <v>19</v>
      </c>
      <c r="U17" s="491">
        <f>360-AVERAGE(L17:L18)</f>
        <v>198</v>
      </c>
      <c r="V17" s="53" t="s">
        <v>1550</v>
      </c>
      <c r="W17">
        <f t="shared" si="0"/>
        <v>196</v>
      </c>
      <c r="X17" s="3">
        <f t="shared" si="4"/>
        <v>19</v>
      </c>
      <c r="AB17" s="483" t="s">
        <v>245</v>
      </c>
      <c r="AC17">
        <v>267</v>
      </c>
      <c r="AD17">
        <v>-5</v>
      </c>
      <c r="AE17" t="e">
        <f t="shared" si="1"/>
        <v>#N/A</v>
      </c>
      <c r="AF17" t="e">
        <f t="shared" si="2"/>
        <v>#N/A</v>
      </c>
      <c r="AG17" t="s">
        <v>113</v>
      </c>
      <c r="AH17" t="s">
        <v>123</v>
      </c>
      <c r="AI17" s="492"/>
      <c r="AJ17" s="202"/>
      <c r="AK17" s="7">
        <v>-81.3</v>
      </c>
      <c r="AL17" s="53"/>
      <c r="AM17" s="220"/>
      <c r="AN17" s="67"/>
      <c r="AP17" s="67"/>
      <c r="AQ17" s="67"/>
      <c r="AT17" s="51">
        <v>27.644079999999999</v>
      </c>
      <c r="AV17" s="51">
        <v>14.800000000000182</v>
      </c>
      <c r="AY17" t="s">
        <v>1694</v>
      </c>
      <c r="AZ17">
        <v>-44.899999999999864</v>
      </c>
      <c r="BA17">
        <v>5.2999999999999545</v>
      </c>
    </row>
    <row r="18" spans="2:53">
      <c r="C18">
        <v>8.1</v>
      </c>
      <c r="D18" s="97">
        <v>11.700000000000045</v>
      </c>
      <c r="F18" s="57">
        <v>0.191</v>
      </c>
      <c r="G18" s="67">
        <v>24.3</v>
      </c>
      <c r="H18" s="482" t="s">
        <v>1551</v>
      </c>
      <c r="I18" s="97" t="s">
        <v>1564</v>
      </c>
      <c r="J18" s="2">
        <v>1.7</v>
      </c>
      <c r="K18" t="s">
        <v>318</v>
      </c>
      <c r="L18" s="61">
        <v>165</v>
      </c>
      <c r="M18">
        <v>79</v>
      </c>
      <c r="O18" s="7" t="s">
        <v>1548</v>
      </c>
      <c r="P18">
        <f t="shared" si="3"/>
        <v>177</v>
      </c>
      <c r="Q18" s="7" t="s">
        <v>1549</v>
      </c>
      <c r="R18" s="483" t="s">
        <v>141</v>
      </c>
      <c r="S18" s="53">
        <v>342</v>
      </c>
      <c r="T18" s="53">
        <v>16</v>
      </c>
      <c r="U18" s="491">
        <f>360-AVERAGE(L17:L18)</f>
        <v>198</v>
      </c>
      <c r="V18" s="53" t="s">
        <v>1550</v>
      </c>
      <c r="W18">
        <f t="shared" si="0"/>
        <v>180</v>
      </c>
      <c r="X18" s="3">
        <f t="shared" si="4"/>
        <v>16</v>
      </c>
      <c r="AB18" s="483" t="s">
        <v>307</v>
      </c>
      <c r="AC18">
        <v>111</v>
      </c>
      <c r="AD18">
        <v>64</v>
      </c>
      <c r="AE18" t="e">
        <f t="shared" si="1"/>
        <v>#N/A</v>
      </c>
      <c r="AF18" t="e">
        <f t="shared" si="2"/>
        <v>#N/A</v>
      </c>
      <c r="AG18" t="s">
        <v>113</v>
      </c>
      <c r="AH18" t="s">
        <v>114</v>
      </c>
      <c r="AI18" s="492"/>
      <c r="AJ18" s="147"/>
      <c r="AK18" s="7">
        <v>-71.7</v>
      </c>
      <c r="AL18" s="53"/>
      <c r="AM18" s="220"/>
      <c r="AN18" s="67"/>
      <c r="AP18" s="67"/>
      <c r="AT18" s="51">
        <v>24.5411</v>
      </c>
      <c r="AV18" s="51">
        <v>14.75</v>
      </c>
      <c r="AY18" t="s">
        <v>1695</v>
      </c>
      <c r="AZ18">
        <v>-53.599999999999909</v>
      </c>
      <c r="BA18">
        <v>8.7000000000000455</v>
      </c>
    </row>
    <row r="19" spans="2:53">
      <c r="C19">
        <v>9.1</v>
      </c>
      <c r="D19" s="97">
        <v>11.190000000000055</v>
      </c>
      <c r="F19" s="57">
        <v>0.308</v>
      </c>
      <c r="G19" s="67">
        <v>30.2</v>
      </c>
      <c r="H19" s="482" t="s">
        <v>1551</v>
      </c>
      <c r="I19" s="97" t="s">
        <v>1565</v>
      </c>
      <c r="J19" s="2">
        <v>2</v>
      </c>
      <c r="K19" t="s">
        <v>1552</v>
      </c>
      <c r="L19">
        <v>47</v>
      </c>
      <c r="M19">
        <v>73</v>
      </c>
      <c r="O19" s="7"/>
      <c r="P19">
        <f t="shared" si="3"/>
        <v>14</v>
      </c>
      <c r="Q19" s="7" t="s">
        <v>1549</v>
      </c>
      <c r="R19" s="493" t="s">
        <v>180</v>
      </c>
      <c r="S19" s="53">
        <v>61</v>
      </c>
      <c r="T19" s="53">
        <v>-44</v>
      </c>
      <c r="U19" s="2">
        <f>IF(ISBLANK(L19),"non",360-L19)</f>
        <v>313</v>
      </c>
      <c r="V19" s="53" t="s">
        <v>1549</v>
      </c>
      <c r="W19">
        <f t="shared" si="0"/>
        <v>14</v>
      </c>
      <c r="X19" s="3">
        <f t="shared" si="4"/>
        <v>-44</v>
      </c>
      <c r="AB19" s="483" t="s">
        <v>245</v>
      </c>
      <c r="AC19">
        <v>283</v>
      </c>
      <c r="AD19">
        <v>-14</v>
      </c>
      <c r="AE19" t="e">
        <f t="shared" si="1"/>
        <v>#N/A</v>
      </c>
      <c r="AF19" t="e">
        <f t="shared" si="2"/>
        <v>#N/A</v>
      </c>
      <c r="AG19" t="s">
        <v>113</v>
      </c>
      <c r="AH19" t="s">
        <v>67</v>
      </c>
      <c r="AI19" s="494"/>
      <c r="AJ19" s="202"/>
      <c r="AK19" s="7">
        <v>82.5</v>
      </c>
      <c r="AL19" s="53"/>
      <c r="AM19" s="220"/>
      <c r="AN19" s="67"/>
      <c r="AT19" s="51">
        <v>24.150069999999999</v>
      </c>
      <c r="AV19" s="51">
        <v>14.700000000000045</v>
      </c>
      <c r="AY19" t="s">
        <v>1696</v>
      </c>
      <c r="AZ19">
        <v>-63</v>
      </c>
      <c r="BA19">
        <v>9.4000000000000909</v>
      </c>
    </row>
    <row r="20" spans="2:53">
      <c r="C20">
        <v>10.1</v>
      </c>
      <c r="D20" s="97">
        <v>10.560000000000173</v>
      </c>
      <c r="F20" s="57">
        <v>0.25800000000000001</v>
      </c>
      <c r="G20" s="67">
        <v>28.4</v>
      </c>
      <c r="H20" s="482" t="s">
        <v>1551</v>
      </c>
      <c r="I20" s="97" t="s">
        <v>1566</v>
      </c>
      <c r="J20" s="2">
        <v>2</v>
      </c>
      <c r="K20" t="s">
        <v>318</v>
      </c>
      <c r="L20">
        <v>281</v>
      </c>
      <c r="M20">
        <v>63</v>
      </c>
      <c r="O20" s="7" t="s">
        <v>1548</v>
      </c>
      <c r="P20">
        <f t="shared" si="3"/>
        <v>161</v>
      </c>
      <c r="Q20" s="7" t="s">
        <v>1559</v>
      </c>
      <c r="R20" s="493" t="s">
        <v>414</v>
      </c>
      <c r="S20" s="53">
        <v>82</v>
      </c>
      <c r="T20" s="53">
        <v>27</v>
      </c>
      <c r="U20" s="2">
        <f>IF(ISBLANK(L20),"non",360-L20)</f>
        <v>79</v>
      </c>
      <c r="V20" s="53" t="s">
        <v>1549</v>
      </c>
      <c r="W20">
        <f t="shared" si="0"/>
        <v>161</v>
      </c>
      <c r="X20" s="3">
        <f t="shared" si="4"/>
        <v>27</v>
      </c>
      <c r="AB20" s="483" t="s">
        <v>1567</v>
      </c>
      <c r="AC20">
        <v>140</v>
      </c>
      <c r="AD20">
        <v>-50</v>
      </c>
      <c r="AE20" t="e">
        <f t="shared" si="1"/>
        <v>#N/A</v>
      </c>
      <c r="AF20" t="e">
        <f t="shared" si="2"/>
        <v>#N/A</v>
      </c>
      <c r="AG20" t="s">
        <v>113</v>
      </c>
      <c r="AH20" t="s">
        <v>114</v>
      </c>
      <c r="AI20" s="492"/>
      <c r="AJ20" s="147"/>
      <c r="AK20" s="7">
        <v>-56.6</v>
      </c>
      <c r="AL20" s="53"/>
      <c r="AM20" s="220"/>
      <c r="AN20" s="67"/>
      <c r="AT20" s="51">
        <v>26.88072</v>
      </c>
      <c r="AV20" s="51">
        <v>14.650000000000091</v>
      </c>
      <c r="AY20" t="s">
        <v>1697</v>
      </c>
      <c r="AZ20">
        <v>-80.099999999999909</v>
      </c>
      <c r="BA20">
        <v>17.099999999999909</v>
      </c>
    </row>
    <row r="21" spans="2:53">
      <c r="C21">
        <v>11.1</v>
      </c>
      <c r="D21" s="97">
        <v>10.150000000000091</v>
      </c>
      <c r="E21" t="s">
        <v>309</v>
      </c>
      <c r="F21" s="57">
        <v>0.44</v>
      </c>
      <c r="G21" s="67">
        <v>36.1</v>
      </c>
      <c r="H21" s="73" t="s">
        <v>1568</v>
      </c>
      <c r="I21" s="97"/>
      <c r="J21" s="2">
        <v>1.4</v>
      </c>
      <c r="K21" t="s">
        <v>85</v>
      </c>
      <c r="L21" s="7">
        <v>116</v>
      </c>
      <c r="M21">
        <v>61</v>
      </c>
      <c r="O21" s="7" t="s">
        <v>1548</v>
      </c>
      <c r="P21" s="489">
        <f t="shared" si="3"/>
        <v>64</v>
      </c>
      <c r="Q21" s="158" t="s">
        <v>454</v>
      </c>
      <c r="R21" s="493" t="s">
        <v>1569</v>
      </c>
      <c r="S21" s="53">
        <v>52</v>
      </c>
      <c r="T21" s="53">
        <v>28</v>
      </c>
      <c r="U21" s="2">
        <f>U20</f>
        <v>79</v>
      </c>
      <c r="V21" s="53" t="s">
        <v>454</v>
      </c>
      <c r="W21" s="7">
        <f t="shared" si="0"/>
        <v>131</v>
      </c>
      <c r="X21" s="3">
        <f t="shared" si="4"/>
        <v>28</v>
      </c>
      <c r="AB21" s="483" t="s">
        <v>341</v>
      </c>
      <c r="AC21">
        <v>303</v>
      </c>
      <c r="AD21">
        <v>27</v>
      </c>
      <c r="AE21">
        <f t="shared" si="1"/>
        <v>22</v>
      </c>
      <c r="AF21">
        <f t="shared" si="2"/>
        <v>27</v>
      </c>
      <c r="AG21" t="s">
        <v>159</v>
      </c>
      <c r="AH21" t="s">
        <v>114</v>
      </c>
      <c r="AI21" s="492"/>
      <c r="AJ21" s="147"/>
      <c r="AK21" s="7"/>
      <c r="AL21" s="67">
        <v>188.8</v>
      </c>
      <c r="AM21" s="67">
        <v>62.4</v>
      </c>
      <c r="AN21" s="5">
        <v>-64.099999999999994</v>
      </c>
      <c r="AT21" s="51">
        <v>30.324440000000003</v>
      </c>
      <c r="AV21" s="51">
        <v>14.600000000000136</v>
      </c>
    </row>
    <row r="22" spans="2:53">
      <c r="C22" t="s">
        <v>1570</v>
      </c>
      <c r="D22" s="97">
        <v>9.6500000000000909</v>
      </c>
      <c r="F22" s="57">
        <v>0.32400000000000001</v>
      </c>
      <c r="G22" s="67">
        <v>32.299999999999997</v>
      </c>
      <c r="H22" s="53" t="s">
        <v>1571</v>
      </c>
      <c r="I22" s="97" t="s">
        <v>402</v>
      </c>
      <c r="J22" s="2">
        <v>0.8</v>
      </c>
      <c r="K22" t="s">
        <v>720</v>
      </c>
      <c r="L22" s="7">
        <v>168</v>
      </c>
      <c r="M22">
        <v>62</v>
      </c>
      <c r="O22" s="7"/>
      <c r="P22">
        <f t="shared" si="3"/>
        <v>155</v>
      </c>
      <c r="Q22" s="7" t="s">
        <v>1559</v>
      </c>
      <c r="R22" s="493" t="s">
        <v>1572</v>
      </c>
      <c r="S22" s="53">
        <v>323</v>
      </c>
      <c r="T22" s="53">
        <v>55</v>
      </c>
      <c r="U22" s="2">
        <f>IF(ISBLANK(L22),"non",360-L22)</f>
        <v>192</v>
      </c>
      <c r="V22" s="53" t="s">
        <v>1549</v>
      </c>
      <c r="W22" s="7">
        <f t="shared" si="0"/>
        <v>155</v>
      </c>
      <c r="X22" s="3">
        <f t="shared" si="4"/>
        <v>55</v>
      </c>
      <c r="AB22" s="483"/>
      <c r="AG22" t="s">
        <v>167</v>
      </c>
      <c r="AH22" t="s">
        <v>309</v>
      </c>
      <c r="AI22" s="492"/>
      <c r="AJ22" s="147"/>
      <c r="AK22" s="7">
        <v>-50.4</v>
      </c>
      <c r="AM22" s="53"/>
      <c r="AT22" s="51">
        <v>30.525019999999998</v>
      </c>
      <c r="AV22" s="51">
        <v>14.550000000000182</v>
      </c>
    </row>
    <row r="23" spans="2:53">
      <c r="B23" s="495"/>
      <c r="C23">
        <v>13.1</v>
      </c>
      <c r="D23" s="97">
        <v>9.1500000000000909</v>
      </c>
      <c r="E23">
        <v>2</v>
      </c>
      <c r="F23" s="57">
        <v>0.36899999999999999</v>
      </c>
      <c r="G23" s="67">
        <v>34.299999999999997</v>
      </c>
      <c r="H23" t="s">
        <v>1573</v>
      </c>
      <c r="I23" s="2" t="s">
        <v>548</v>
      </c>
      <c r="J23" s="2">
        <v>1.4</v>
      </c>
      <c r="K23" s="485" t="s">
        <v>92</v>
      </c>
      <c r="L23" s="443">
        <v>289</v>
      </c>
      <c r="M23">
        <v>70</v>
      </c>
      <c r="N23" s="7" t="s">
        <v>1553</v>
      </c>
      <c r="O23" s="7" t="s">
        <v>1548</v>
      </c>
      <c r="P23">
        <f t="shared" si="3"/>
        <v>104</v>
      </c>
      <c r="Q23" s="7" t="s">
        <v>1549</v>
      </c>
      <c r="R23" s="493" t="s">
        <v>1574</v>
      </c>
      <c r="S23" s="7">
        <v>33</v>
      </c>
      <c r="T23" s="7">
        <v>37</v>
      </c>
      <c r="U23" s="484">
        <f>360-AVERAGE(L23:L24)</f>
        <v>79.5</v>
      </c>
      <c r="V23" s="53" t="s">
        <v>454</v>
      </c>
      <c r="W23" s="441">
        <f t="shared" si="0"/>
        <v>112.5</v>
      </c>
      <c r="X23" s="3">
        <f t="shared" si="4"/>
        <v>37</v>
      </c>
      <c r="AB23" s="483" t="s">
        <v>1263</v>
      </c>
      <c r="AC23">
        <v>305</v>
      </c>
      <c r="AD23">
        <v>-10</v>
      </c>
      <c r="AE23" t="e">
        <f>IF(LEFT(AG23,1)="s", NA(), IF((AC23+U23)&gt;360,AC23+U23-360,AC23+U23))</f>
        <v>#N/A</v>
      </c>
      <c r="AF23" t="e">
        <f>IF(LEFT(AG23,1)="s",NA(),(AD23))</f>
        <v>#N/A</v>
      </c>
      <c r="AG23" t="s">
        <v>113</v>
      </c>
      <c r="AH23" t="s">
        <v>114</v>
      </c>
      <c r="AI23" s="490"/>
      <c r="AJ23" s="147"/>
      <c r="AK23" s="7"/>
      <c r="AL23" s="53"/>
      <c r="AM23" s="220"/>
      <c r="AN23" s="67"/>
      <c r="AO23" s="5">
        <f>X23</f>
        <v>37</v>
      </c>
      <c r="AS23" s="67"/>
      <c r="AT23" s="51">
        <v>28.61224</v>
      </c>
      <c r="AV23" s="51">
        <v>14.5</v>
      </c>
    </row>
    <row r="24" spans="2:53">
      <c r="B24" s="152"/>
      <c r="C24">
        <v>14.1</v>
      </c>
      <c r="D24" s="97">
        <v>8.790000000000191</v>
      </c>
      <c r="E24" t="s">
        <v>1575</v>
      </c>
      <c r="F24" s="57">
        <v>0.27700000000000002</v>
      </c>
      <c r="G24" s="67">
        <v>25.9</v>
      </c>
      <c r="H24" t="s">
        <v>1576</v>
      </c>
      <c r="J24" s="2">
        <v>1.2</v>
      </c>
      <c r="K24" s="485" t="s">
        <v>1577</v>
      </c>
      <c r="L24" s="443">
        <v>272</v>
      </c>
      <c r="M24">
        <v>74</v>
      </c>
      <c r="N24" s="7"/>
      <c r="O24" s="7" t="s">
        <v>1548</v>
      </c>
      <c r="Q24" s="7"/>
      <c r="R24" s="493" t="s">
        <v>1554</v>
      </c>
      <c r="S24" s="7"/>
      <c r="T24" s="7"/>
      <c r="U24" s="484">
        <f>U23</f>
        <v>79.5</v>
      </c>
      <c r="V24" s="53" t="s">
        <v>1550</v>
      </c>
      <c r="W24" s="7" t="str">
        <f t="shared" si="0"/>
        <v/>
      </c>
      <c r="AB24" s="483" t="s">
        <v>341</v>
      </c>
      <c r="AC24">
        <v>314</v>
      </c>
      <c r="AD24">
        <v>-13</v>
      </c>
      <c r="AE24">
        <f>IF(LEFT(AG24,1)="s", NA(), IF((AC24+U24)&gt;360,AC24+U24-360,AC24+U24))</f>
        <v>33.5</v>
      </c>
      <c r="AF24">
        <f>IF(LEFT(AG24,1)="s",NA(),(AD24))</f>
        <v>-13</v>
      </c>
      <c r="AG24" t="s">
        <v>159</v>
      </c>
      <c r="AH24" t="s">
        <v>114</v>
      </c>
      <c r="AI24" s="496"/>
      <c r="AJ24" s="147"/>
      <c r="AK24" s="7"/>
      <c r="AL24" s="67">
        <v>105.8</v>
      </c>
      <c r="AM24" s="67">
        <v>52.8</v>
      </c>
      <c r="AN24" s="5">
        <v>-10.199999999999999</v>
      </c>
      <c r="AP24" s="67"/>
      <c r="AQ24" s="67"/>
      <c r="AR24" s="67"/>
      <c r="AT24" s="51">
        <v>31.599550000000001</v>
      </c>
      <c r="AV24" s="51">
        <v>14.450000000000045</v>
      </c>
    </row>
    <row r="25" spans="2:53">
      <c r="B25" s="152"/>
      <c r="C25" t="s">
        <v>1578</v>
      </c>
      <c r="D25" s="97">
        <v>8.1100000000001273</v>
      </c>
      <c r="E25">
        <v>3</v>
      </c>
      <c r="F25" s="57">
        <v>0.47699999999999998</v>
      </c>
      <c r="G25" s="67">
        <v>39.1</v>
      </c>
      <c r="H25" t="s">
        <v>1579</v>
      </c>
      <c r="I25" s="2" t="s">
        <v>402</v>
      </c>
      <c r="J25" s="2">
        <v>0.7</v>
      </c>
      <c r="K25" s="485" t="s">
        <v>720</v>
      </c>
      <c r="L25" s="443">
        <v>8</v>
      </c>
      <c r="M25">
        <v>64</v>
      </c>
      <c r="N25" s="7"/>
      <c r="O25" s="7"/>
      <c r="P25">
        <f t="shared" ref="P25:P51" si="5">IF( IF(L25 &gt; S25,  (S25+360)-L25, S25-L25 ) &gt;180, 360-IF(L25 &gt; S25,  (S25+360)-L25, S25-L25 ), IF(L25 &gt; S25,  (S25+360)-L25, S25-L25 ))</f>
        <v>142</v>
      </c>
      <c r="Q25" s="7" t="s">
        <v>1549</v>
      </c>
      <c r="R25" s="493" t="s">
        <v>1580</v>
      </c>
      <c r="S25" s="7">
        <v>226</v>
      </c>
      <c r="T25" s="7">
        <v>51</v>
      </c>
      <c r="U25" s="484">
        <f>360-AVERAGE(L25:L26)</f>
        <v>355.5</v>
      </c>
      <c r="V25" s="53" t="s">
        <v>1550</v>
      </c>
      <c r="W25" s="7">
        <f t="shared" si="0"/>
        <v>221.5</v>
      </c>
      <c r="X25" s="3">
        <f t="shared" ref="X25:X47" si="6">IF(ISBLANK(T25),"",T25)</f>
        <v>51</v>
      </c>
      <c r="AB25" s="483"/>
      <c r="AG25" t="s">
        <v>113</v>
      </c>
      <c r="AH25" t="s">
        <v>114</v>
      </c>
      <c r="AI25" s="496"/>
      <c r="AJ25" s="147"/>
      <c r="AK25" s="7">
        <v>-63.1</v>
      </c>
      <c r="AM25" s="53"/>
      <c r="AN25" s="67"/>
      <c r="AP25" s="67"/>
      <c r="AQ25" s="67"/>
      <c r="AR25" s="67"/>
      <c r="AT25" s="51">
        <v>31.899009999999997</v>
      </c>
      <c r="AV25" s="51">
        <v>14.400000000000091</v>
      </c>
    </row>
    <row r="26" spans="2:53">
      <c r="B26" s="152"/>
      <c r="C26">
        <v>16.100000000000001</v>
      </c>
      <c r="D26" s="97">
        <v>7.8100000000001728</v>
      </c>
      <c r="E26">
        <v>3</v>
      </c>
      <c r="F26" s="57">
        <v>0.48499999999999999</v>
      </c>
      <c r="G26" s="67">
        <v>33.5</v>
      </c>
      <c r="H26" t="s">
        <v>1581</v>
      </c>
      <c r="J26" s="2">
        <v>1.4</v>
      </c>
      <c r="K26" t="s">
        <v>119</v>
      </c>
      <c r="L26" s="443">
        <v>1</v>
      </c>
      <c r="M26">
        <v>70</v>
      </c>
      <c r="N26" s="497" t="s">
        <v>1582</v>
      </c>
      <c r="O26" s="7"/>
      <c r="P26" s="489">
        <f t="shared" si="5"/>
        <v>22</v>
      </c>
      <c r="Q26" s="158" t="s">
        <v>454</v>
      </c>
      <c r="R26" s="2" t="s">
        <v>1583</v>
      </c>
      <c r="S26">
        <v>23</v>
      </c>
      <c r="T26">
        <v>33</v>
      </c>
      <c r="U26" s="484">
        <f>U25</f>
        <v>355.5</v>
      </c>
      <c r="V26" s="53" t="s">
        <v>454</v>
      </c>
      <c r="W26" s="441">
        <f t="shared" si="0"/>
        <v>18.5</v>
      </c>
      <c r="X26" s="3">
        <f t="shared" si="6"/>
        <v>33</v>
      </c>
      <c r="AB26" s="483" t="s">
        <v>245</v>
      </c>
      <c r="AC26">
        <v>311</v>
      </c>
      <c r="AD26">
        <v>-12</v>
      </c>
      <c r="AE26" t="e">
        <f>IF(LEFT(AG26,1)="s", NA(), IF((AC26+U26)&gt;360,AC26+U26-360,AC26+U26))</f>
        <v>#N/A</v>
      </c>
      <c r="AF26" t="e">
        <f>IF(LEFT(AG26,1)="s",NA(),(AD26))</f>
        <v>#N/A</v>
      </c>
      <c r="AG26" t="s">
        <v>113</v>
      </c>
      <c r="AH26" t="s">
        <v>114</v>
      </c>
      <c r="AI26" s="490"/>
      <c r="AJ26" s="147"/>
      <c r="AK26" s="7"/>
      <c r="AL26" s="53"/>
      <c r="AM26" s="220"/>
      <c r="AN26" s="67"/>
      <c r="AO26" s="5">
        <f>X26</f>
        <v>33</v>
      </c>
      <c r="AP26" s="67"/>
      <c r="AQ26" s="67"/>
      <c r="AR26" s="67"/>
      <c r="AS26" s="67"/>
      <c r="AT26" s="51">
        <v>31.44998</v>
      </c>
      <c r="AV26" s="51">
        <v>14.350000000000136</v>
      </c>
    </row>
    <row r="27" spans="2:53">
      <c r="B27" s="152" t="s">
        <v>1584</v>
      </c>
      <c r="C27">
        <v>18.2</v>
      </c>
      <c r="D27" s="97">
        <v>6.7599999999999909</v>
      </c>
      <c r="E27" t="s">
        <v>309</v>
      </c>
      <c r="F27" s="57">
        <v>0.20699999999999999</v>
      </c>
      <c r="G27" s="67">
        <v>24.9</v>
      </c>
      <c r="H27" t="s">
        <v>1585</v>
      </c>
      <c r="J27" s="2">
        <v>0.5</v>
      </c>
      <c r="K27" t="s">
        <v>85</v>
      </c>
      <c r="L27">
        <v>327</v>
      </c>
      <c r="M27">
        <v>70</v>
      </c>
      <c r="N27" s="7" t="s">
        <v>1586</v>
      </c>
      <c r="O27" s="7"/>
      <c r="P27">
        <f t="shared" si="5"/>
        <v>25</v>
      </c>
      <c r="Q27" s="7" t="s">
        <v>1587</v>
      </c>
      <c r="R27" s="483" t="s">
        <v>141</v>
      </c>
      <c r="S27">
        <v>302</v>
      </c>
      <c r="T27">
        <v>-24</v>
      </c>
      <c r="U27" s="2">
        <f>IF(ISBLANK(L27),"non",360-L27)</f>
        <v>33</v>
      </c>
      <c r="V27" s="53" t="s">
        <v>1549</v>
      </c>
      <c r="W27" s="7">
        <f t="shared" si="0"/>
        <v>335</v>
      </c>
      <c r="X27" s="3">
        <f t="shared" si="6"/>
        <v>-24</v>
      </c>
      <c r="AB27" s="483" t="s">
        <v>1588</v>
      </c>
      <c r="AC27">
        <v>220</v>
      </c>
      <c r="AD27">
        <v>6</v>
      </c>
      <c r="AE27" t="e">
        <f>IF(LEFT(AG27,1)="s", NA(), IF((AC27+U27)&gt;360,AC27+U27-360,AC27+U27))</f>
        <v>#N/A</v>
      </c>
      <c r="AF27" t="e">
        <f>IF(LEFT(AG27,1)="s",NA(),(AD27))</f>
        <v>#N/A</v>
      </c>
      <c r="AG27" t="s">
        <v>167</v>
      </c>
      <c r="AH27" t="s">
        <v>168</v>
      </c>
      <c r="AI27" s="494"/>
      <c r="AJ27" s="69"/>
      <c r="AK27" s="7">
        <v>50.6</v>
      </c>
      <c r="AL27" s="53"/>
      <c r="AM27" s="220"/>
      <c r="AN27" s="67"/>
      <c r="AP27" s="67"/>
      <c r="AQ27" s="67"/>
      <c r="AR27" s="67"/>
      <c r="AS27" s="67"/>
      <c r="AT27" s="51">
        <v>31.074919999999999</v>
      </c>
      <c r="AV27" s="51">
        <v>14.300000000000182</v>
      </c>
    </row>
    <row r="28" spans="2:53">
      <c r="B28" s="152"/>
      <c r="C28">
        <v>19.100000000000001</v>
      </c>
      <c r="D28" s="97">
        <v>6.3000000000001819</v>
      </c>
      <c r="F28" s="57">
        <v>0.496</v>
      </c>
      <c r="G28" s="67">
        <v>16.899999999999999</v>
      </c>
      <c r="H28" t="s">
        <v>1589</v>
      </c>
      <c r="J28" s="2">
        <v>5</v>
      </c>
      <c r="K28" t="s">
        <v>1590</v>
      </c>
      <c r="L28">
        <v>210</v>
      </c>
      <c r="M28">
        <v>54</v>
      </c>
      <c r="N28" s="7"/>
      <c r="O28" s="7"/>
      <c r="P28">
        <f t="shared" si="5"/>
        <v>23</v>
      </c>
      <c r="Q28" s="7" t="s">
        <v>1587</v>
      </c>
      <c r="R28" s="2" t="s">
        <v>1591</v>
      </c>
      <c r="S28" s="53">
        <v>233</v>
      </c>
      <c r="T28" s="53">
        <v>-29</v>
      </c>
      <c r="U28" s="2">
        <f>IF(ISBLANK(L28),"non",360-L28)</f>
        <v>150</v>
      </c>
      <c r="V28" s="53" t="s">
        <v>1549</v>
      </c>
      <c r="W28">
        <f t="shared" si="0"/>
        <v>23</v>
      </c>
      <c r="X28" s="3">
        <f t="shared" si="6"/>
        <v>-29</v>
      </c>
      <c r="AB28" s="483" t="s">
        <v>341</v>
      </c>
      <c r="AC28">
        <v>281</v>
      </c>
      <c r="AD28">
        <v>-4</v>
      </c>
      <c r="AE28" t="e">
        <f>IF(LEFT(AG28,1)="s", NA(), IF((AC28+U28)&gt;360,AC28+U28-360,AC28+U28))</f>
        <v>#N/A</v>
      </c>
      <c r="AF28" t="e">
        <f>IF(LEFT(AG28,1)="s",NA(),(AD28))</f>
        <v>#N/A</v>
      </c>
      <c r="AG28" t="s">
        <v>167</v>
      </c>
      <c r="AH28" t="s">
        <v>67</v>
      </c>
      <c r="AI28" s="494"/>
      <c r="AJ28" s="69"/>
      <c r="AK28" s="7">
        <v>82.3</v>
      </c>
      <c r="AL28" s="53"/>
      <c r="AM28" s="220"/>
      <c r="AN28" s="67"/>
      <c r="AP28" s="67"/>
      <c r="AQ28" s="67"/>
      <c r="AR28" s="67"/>
      <c r="AS28" s="67"/>
      <c r="AT28" s="51">
        <v>29.57244</v>
      </c>
      <c r="AV28" s="51">
        <v>14.25</v>
      </c>
    </row>
    <row r="29" spans="2:53">
      <c r="B29" s="152"/>
      <c r="C29">
        <v>20.100000000000001</v>
      </c>
      <c r="D29" s="97">
        <v>5.4300000000000637</v>
      </c>
      <c r="F29" s="57">
        <v>0.185</v>
      </c>
      <c r="G29" s="67">
        <v>16.399999999999999</v>
      </c>
      <c r="H29" t="s">
        <v>1592</v>
      </c>
      <c r="I29" s="2" t="s">
        <v>1593</v>
      </c>
      <c r="J29" s="2">
        <v>1</v>
      </c>
      <c r="K29" t="s">
        <v>92</v>
      </c>
      <c r="L29">
        <v>341</v>
      </c>
      <c r="M29">
        <v>77</v>
      </c>
      <c r="N29" s="7" t="s">
        <v>1594</v>
      </c>
      <c r="O29" s="7" t="s">
        <v>1548</v>
      </c>
      <c r="P29" s="489">
        <f t="shared" si="5"/>
        <v>47</v>
      </c>
      <c r="Q29" s="158" t="s">
        <v>454</v>
      </c>
      <c r="R29" s="2" t="s">
        <v>1595</v>
      </c>
      <c r="S29" s="53">
        <v>28</v>
      </c>
      <c r="T29" s="53">
        <v>39</v>
      </c>
      <c r="U29" s="440">
        <f>U28</f>
        <v>150</v>
      </c>
      <c r="V29" s="53" t="s">
        <v>1549</v>
      </c>
      <c r="W29" s="7">
        <f t="shared" si="0"/>
        <v>178</v>
      </c>
      <c r="X29" s="3">
        <f t="shared" si="6"/>
        <v>39</v>
      </c>
      <c r="AB29" s="483" t="s">
        <v>341</v>
      </c>
      <c r="AC29">
        <v>313</v>
      </c>
      <c r="AD29">
        <v>-12</v>
      </c>
      <c r="AE29" t="e">
        <f>IF(LEFT(AG29,1)="s", NA(), IF((AC29+U29)&gt;360,AC29+U29-360,AC29+U29))</f>
        <v>#N/A</v>
      </c>
      <c r="AF29" t="e">
        <f>IF(LEFT(AG29,1)="s",NA(),(AD29))</f>
        <v>#N/A</v>
      </c>
      <c r="AG29" t="s">
        <v>167</v>
      </c>
      <c r="AH29" t="s">
        <v>309</v>
      </c>
      <c r="AI29" s="490"/>
      <c r="AJ29" s="147"/>
      <c r="AK29" s="7">
        <v>-73.099999999999994</v>
      </c>
      <c r="AL29" s="53"/>
      <c r="AM29" s="220"/>
      <c r="AN29" s="67"/>
      <c r="AP29" s="67"/>
      <c r="AQ29" s="67"/>
      <c r="AR29" s="67"/>
      <c r="AS29" s="67"/>
      <c r="AT29" s="51">
        <v>22.96977</v>
      </c>
      <c r="AV29" s="51">
        <v>14.200000000000045</v>
      </c>
    </row>
    <row r="30" spans="2:53">
      <c r="B30" s="152"/>
      <c r="C30" t="s">
        <v>1596</v>
      </c>
      <c r="D30" s="97">
        <v>5.1500000000000909</v>
      </c>
      <c r="F30" s="57">
        <v>0.33200000000000002</v>
      </c>
      <c r="G30" s="67">
        <v>19.399999999999999</v>
      </c>
      <c r="H30" t="s">
        <v>1597</v>
      </c>
      <c r="J30" s="2" t="s">
        <v>1598</v>
      </c>
      <c r="K30" t="s">
        <v>1599</v>
      </c>
      <c r="L30">
        <v>177</v>
      </c>
      <c r="M30">
        <v>76</v>
      </c>
      <c r="N30" s="7" t="s">
        <v>1600</v>
      </c>
      <c r="O30" s="7"/>
      <c r="P30">
        <f t="shared" si="5"/>
        <v>18</v>
      </c>
      <c r="Q30" s="7" t="s">
        <v>1587</v>
      </c>
      <c r="R30" s="483" t="s">
        <v>120</v>
      </c>
      <c r="S30" s="53">
        <v>159</v>
      </c>
      <c r="T30" s="53">
        <v>-24</v>
      </c>
      <c r="U30" s="2">
        <f>IF(ISBLANK(L30),"non",360-L30)</f>
        <v>183</v>
      </c>
      <c r="V30" s="53" t="s">
        <v>1549</v>
      </c>
      <c r="W30" s="7">
        <f t="shared" si="0"/>
        <v>342</v>
      </c>
      <c r="X30" s="3">
        <f t="shared" si="6"/>
        <v>-24</v>
      </c>
      <c r="Y30" s="2" t="s">
        <v>1601</v>
      </c>
      <c r="Z30">
        <v>328</v>
      </c>
      <c r="AA30">
        <v>16</v>
      </c>
      <c r="AB30" s="483"/>
      <c r="AG30" t="s">
        <v>113</v>
      </c>
      <c r="AH30" t="s">
        <v>88</v>
      </c>
      <c r="AI30" s="494"/>
      <c r="AJ30" s="498"/>
      <c r="AK30" s="7">
        <v>57.2</v>
      </c>
      <c r="AL30" s="53"/>
      <c r="AM30" s="220"/>
      <c r="AN30" s="67"/>
      <c r="AP30" s="67"/>
      <c r="AQ30" s="67"/>
      <c r="AR30" s="67"/>
      <c r="AS30" s="67"/>
      <c r="AT30" s="51">
        <v>27.490160000000003</v>
      </c>
      <c r="AV30" s="51">
        <v>14.150000000000091</v>
      </c>
    </row>
    <row r="31" spans="2:53">
      <c r="B31" s="152"/>
      <c r="C31">
        <v>29.1</v>
      </c>
      <c r="D31" s="97">
        <v>4.6500000000000909</v>
      </c>
      <c r="F31" s="57">
        <v>0.26100000000000001</v>
      </c>
      <c r="G31" s="67">
        <v>20.3</v>
      </c>
      <c r="H31" t="s">
        <v>1602</v>
      </c>
      <c r="J31" s="2">
        <v>1.7</v>
      </c>
      <c r="K31" t="s">
        <v>1603</v>
      </c>
      <c r="L31">
        <v>24</v>
      </c>
      <c r="M31">
        <v>77</v>
      </c>
      <c r="N31" s="497" t="s">
        <v>1604</v>
      </c>
      <c r="O31" s="7"/>
      <c r="P31">
        <f t="shared" si="5"/>
        <v>148</v>
      </c>
      <c r="Q31" s="7" t="s">
        <v>1549</v>
      </c>
      <c r="R31" s="2" t="s">
        <v>1605</v>
      </c>
      <c r="S31" s="53">
        <v>236</v>
      </c>
      <c r="T31" s="53">
        <v>20</v>
      </c>
      <c r="U31" s="2">
        <f>IF(ISBLANK(L31),"non",360-L31)</f>
        <v>336</v>
      </c>
      <c r="V31" s="53" t="s">
        <v>1549</v>
      </c>
      <c r="W31">
        <f t="shared" si="0"/>
        <v>212</v>
      </c>
      <c r="X31" s="3">
        <f t="shared" si="6"/>
        <v>20</v>
      </c>
      <c r="Y31" s="483" t="s">
        <v>69</v>
      </c>
      <c r="Z31" t="s">
        <v>69</v>
      </c>
      <c r="AA31" t="s">
        <v>69</v>
      </c>
      <c r="AB31" s="483" t="s">
        <v>245</v>
      </c>
      <c r="AC31">
        <v>325</v>
      </c>
      <c r="AD31">
        <v>-6</v>
      </c>
      <c r="AE31" t="e">
        <f>IF(LEFT(AG31,1)="s", NA(), IF((AC31+U31)&gt;360,AC31+U31-360,AC31+U31))</f>
        <v>#N/A</v>
      </c>
      <c r="AF31" t="e">
        <f>IF(LEFT(AG31,1)="s",NA(),(AD31))</f>
        <v>#N/A</v>
      </c>
      <c r="AG31" t="s">
        <v>113</v>
      </c>
      <c r="AH31" t="s">
        <v>114</v>
      </c>
      <c r="AI31" s="492"/>
      <c r="AJ31" s="147"/>
      <c r="AK31" s="7">
        <v>-72.099999999999994</v>
      </c>
      <c r="AL31" s="53"/>
      <c r="AM31" s="220"/>
      <c r="AN31" s="67"/>
      <c r="AP31" s="67"/>
      <c r="AQ31" s="67"/>
      <c r="AR31" s="67"/>
      <c r="AS31" s="67"/>
      <c r="AT31" s="51">
        <v>28.297430000000002</v>
      </c>
      <c r="AV31" s="51">
        <v>14.100000000000136</v>
      </c>
    </row>
    <row r="32" spans="2:53">
      <c r="B32" s="152" t="s">
        <v>1606</v>
      </c>
      <c r="C32">
        <v>30.1</v>
      </c>
      <c r="D32" s="97">
        <v>4.1400000000001</v>
      </c>
      <c r="F32" s="57">
        <v>0.222</v>
      </c>
      <c r="G32" s="67">
        <v>18.3</v>
      </c>
      <c r="H32" t="s">
        <v>1607</v>
      </c>
      <c r="I32" s="2" t="s">
        <v>1608</v>
      </c>
      <c r="J32" s="2">
        <v>1.4</v>
      </c>
      <c r="K32" t="s">
        <v>92</v>
      </c>
      <c r="L32">
        <v>9</v>
      </c>
      <c r="M32">
        <v>72</v>
      </c>
      <c r="N32" s="497" t="s">
        <v>1604</v>
      </c>
      <c r="O32" s="7"/>
      <c r="P32">
        <f t="shared" si="5"/>
        <v>128</v>
      </c>
      <c r="Q32" s="7" t="s">
        <v>1549</v>
      </c>
      <c r="R32" s="2" t="s">
        <v>1609</v>
      </c>
      <c r="S32" s="53">
        <v>241</v>
      </c>
      <c r="T32" s="53">
        <v>40</v>
      </c>
      <c r="U32" s="2">
        <f>IF(ISBLANK(L32),"non",360-L32)</f>
        <v>351</v>
      </c>
      <c r="V32" s="53" t="s">
        <v>1549</v>
      </c>
      <c r="W32">
        <f t="shared" si="0"/>
        <v>232</v>
      </c>
      <c r="X32" s="3">
        <f t="shared" si="6"/>
        <v>40</v>
      </c>
      <c r="Y32" s="483" t="s">
        <v>307</v>
      </c>
      <c r="Z32">
        <v>74</v>
      </c>
      <c r="AA32">
        <v>-27</v>
      </c>
      <c r="AB32" s="483" t="s">
        <v>341</v>
      </c>
      <c r="AC32">
        <v>289</v>
      </c>
      <c r="AD32">
        <v>-19</v>
      </c>
      <c r="AE32" t="e">
        <f>IF(LEFT(AG32,1)="s", NA(), IF((AC32+U32)&gt;360,AC32+U32-360,AC32+U32))</f>
        <v>#N/A</v>
      </c>
      <c r="AF32" t="e">
        <f>IF(LEFT(AG32,1)="s",NA(),(AD32))</f>
        <v>#N/A</v>
      </c>
      <c r="AG32" t="s">
        <v>469</v>
      </c>
      <c r="AH32" t="s">
        <v>1610</v>
      </c>
      <c r="AI32" s="492"/>
      <c r="AJ32" s="147"/>
      <c r="AK32" s="499">
        <v>-55.7</v>
      </c>
      <c r="AL32" s="53"/>
      <c r="AM32" s="220"/>
      <c r="AN32" s="67"/>
      <c r="AP32" s="67"/>
      <c r="AQ32" s="67"/>
      <c r="AR32" s="67"/>
      <c r="AS32" s="67"/>
      <c r="AT32" s="51">
        <v>29.10069</v>
      </c>
      <c r="AV32" s="51">
        <v>14.050000000000182</v>
      </c>
    </row>
    <row r="33" spans="1:85">
      <c r="B33" s="152"/>
      <c r="C33" t="s">
        <v>1611</v>
      </c>
      <c r="D33" s="97">
        <v>3.5700000000001637</v>
      </c>
      <c r="E33" t="s">
        <v>309</v>
      </c>
      <c r="F33" s="57">
        <v>0.19</v>
      </c>
      <c r="G33" s="67">
        <v>11.6</v>
      </c>
      <c r="H33" t="s">
        <v>1612</v>
      </c>
      <c r="I33" s="2" t="s">
        <v>121</v>
      </c>
      <c r="J33" s="2">
        <v>1.2</v>
      </c>
      <c r="K33" t="s">
        <v>1613</v>
      </c>
      <c r="L33">
        <v>183</v>
      </c>
      <c r="M33">
        <v>87</v>
      </c>
      <c r="N33" s="7"/>
      <c r="O33" s="7"/>
      <c r="P33">
        <f t="shared" si="5"/>
        <v>82</v>
      </c>
      <c r="Q33" s="7" t="s">
        <v>1549</v>
      </c>
      <c r="R33" s="2" t="s">
        <v>1614</v>
      </c>
      <c r="S33" s="53">
        <v>265</v>
      </c>
      <c r="T33" s="53">
        <v>-13</v>
      </c>
      <c r="U33" s="71">
        <f>U34</f>
        <v>100</v>
      </c>
      <c r="V33" s="53" t="s">
        <v>1549</v>
      </c>
      <c r="W33" s="7">
        <f t="shared" si="0"/>
        <v>5</v>
      </c>
      <c r="X33" s="3">
        <f t="shared" si="6"/>
        <v>-13</v>
      </c>
      <c r="Y33" s="483" t="s">
        <v>1561</v>
      </c>
      <c r="Z33">
        <v>170</v>
      </c>
      <c r="AA33">
        <v>-28</v>
      </c>
      <c r="AB33" s="483"/>
      <c r="AG33" t="s">
        <v>167</v>
      </c>
      <c r="AH33" t="s">
        <v>168</v>
      </c>
      <c r="AI33" s="494"/>
      <c r="AJ33" s="69"/>
      <c r="AK33" s="7">
        <v>74.3</v>
      </c>
      <c r="AL33" s="53"/>
      <c r="AM33" s="220"/>
      <c r="AN33" s="67"/>
      <c r="AP33" s="67"/>
      <c r="AQ33" s="67"/>
      <c r="AR33" s="67"/>
      <c r="AS33" s="67"/>
      <c r="AT33" s="51">
        <v>31.766949999999998</v>
      </c>
      <c r="AV33" s="51">
        <v>14</v>
      </c>
    </row>
    <row r="34" spans="1:85" ht="15.75" thickBot="1">
      <c r="B34" s="152"/>
      <c r="C34">
        <v>32.1</v>
      </c>
      <c r="D34" s="97">
        <v>3.3200000000001637</v>
      </c>
      <c r="F34" s="57">
        <v>0.16300000000000001</v>
      </c>
      <c r="G34" s="67">
        <v>6.6</v>
      </c>
      <c r="H34" t="s">
        <v>1615</v>
      </c>
      <c r="I34" s="2" t="s">
        <v>1616</v>
      </c>
      <c r="J34" s="2">
        <v>1.4</v>
      </c>
      <c r="K34" t="s">
        <v>318</v>
      </c>
      <c r="L34" s="4">
        <v>275</v>
      </c>
      <c r="M34">
        <v>71</v>
      </c>
      <c r="N34" s="500" t="s">
        <v>1617</v>
      </c>
      <c r="O34" s="7"/>
      <c r="P34">
        <f t="shared" si="5"/>
        <v>125</v>
      </c>
      <c r="Q34" s="7" t="s">
        <v>1549</v>
      </c>
      <c r="R34" s="2" t="s">
        <v>459</v>
      </c>
      <c r="S34" s="53">
        <v>150</v>
      </c>
      <c r="T34" s="53">
        <v>44</v>
      </c>
      <c r="U34" s="501">
        <f>360-AVERAGE(L34:L35)</f>
        <v>100</v>
      </c>
      <c r="V34" s="53" t="s">
        <v>1550</v>
      </c>
      <c r="W34">
        <f t="shared" si="0"/>
        <v>250</v>
      </c>
      <c r="X34" s="3">
        <f t="shared" si="6"/>
        <v>44</v>
      </c>
      <c r="Y34" s="2" t="s">
        <v>1618</v>
      </c>
      <c r="Z34">
        <v>18</v>
      </c>
      <c r="AA34">
        <v>-6</v>
      </c>
      <c r="AB34" s="483" t="s">
        <v>245</v>
      </c>
      <c r="AC34">
        <v>8</v>
      </c>
      <c r="AD34">
        <v>2</v>
      </c>
      <c r="AE34" t="e">
        <f>IF(LEFT(AG34,1)="s", NA(), IF((AC34+U34)&gt;360,AC34+U34-360,AC34+U34))</f>
        <v>#N/A</v>
      </c>
      <c r="AF34" t="e">
        <f>IF(LEFT(AG34,1)="s",NA(),(AD34))</f>
        <v>#N/A</v>
      </c>
      <c r="AG34" t="s">
        <v>113</v>
      </c>
      <c r="AH34" t="s">
        <v>123</v>
      </c>
      <c r="AI34" s="490"/>
      <c r="AJ34" s="498"/>
      <c r="AK34" s="7">
        <v>-39.4</v>
      </c>
      <c r="AL34" s="53"/>
      <c r="AM34" s="220"/>
      <c r="AN34" s="67"/>
      <c r="AP34" s="67"/>
      <c r="AQ34" s="67"/>
      <c r="AR34" s="67"/>
      <c r="AS34" s="67"/>
      <c r="AT34" s="51">
        <v>31.321010000000001</v>
      </c>
      <c r="AV34" s="51">
        <v>13.950000000000045</v>
      </c>
    </row>
    <row r="35" spans="1:85">
      <c r="B35" s="152"/>
      <c r="C35" t="s">
        <v>1619</v>
      </c>
      <c r="D35" s="97">
        <v>2.7400000000000091</v>
      </c>
      <c r="F35" s="57">
        <v>6.7400000000000002E-2</v>
      </c>
      <c r="G35" s="67">
        <v>12.6</v>
      </c>
      <c r="H35" t="s">
        <v>1620</v>
      </c>
      <c r="I35" s="2" t="s">
        <v>121</v>
      </c>
      <c r="J35" s="2">
        <v>1</v>
      </c>
      <c r="K35" t="s">
        <v>1621</v>
      </c>
      <c r="L35" s="4">
        <v>245</v>
      </c>
      <c r="M35">
        <v>80</v>
      </c>
      <c r="N35" t="s">
        <v>1622</v>
      </c>
      <c r="O35" s="7"/>
      <c r="P35">
        <f t="shared" si="5"/>
        <v>139</v>
      </c>
      <c r="Q35" s="7" t="s">
        <v>1549</v>
      </c>
      <c r="R35" s="493" t="s">
        <v>1623</v>
      </c>
      <c r="S35" s="53">
        <v>106</v>
      </c>
      <c r="T35" s="53">
        <v>49</v>
      </c>
      <c r="U35" s="440">
        <f>U34</f>
        <v>100</v>
      </c>
      <c r="V35" s="53" t="s">
        <v>1550</v>
      </c>
      <c r="W35">
        <f t="shared" si="0"/>
        <v>206</v>
      </c>
      <c r="X35" s="3">
        <f t="shared" si="6"/>
        <v>49</v>
      </c>
      <c r="Y35" s="2" t="s">
        <v>1624</v>
      </c>
      <c r="Z35">
        <v>358</v>
      </c>
      <c r="AA35">
        <v>14</v>
      </c>
      <c r="AB35" s="483"/>
      <c r="AG35" t="s">
        <v>113</v>
      </c>
      <c r="AH35" t="s">
        <v>114</v>
      </c>
      <c r="AI35" s="492"/>
      <c r="AJ35" s="100"/>
      <c r="AK35" s="7">
        <v>-75.099999999999994</v>
      </c>
      <c r="AL35" s="220"/>
      <c r="AM35" s="53"/>
      <c r="AN35" s="67"/>
      <c r="AP35" s="67"/>
      <c r="AQ35" s="67"/>
      <c r="AR35" s="67"/>
      <c r="AT35" s="51">
        <v>34.512699999999995</v>
      </c>
      <c r="AV35" s="51">
        <v>13.900000000000091</v>
      </c>
    </row>
    <row r="36" spans="1:85">
      <c r="B36" s="152"/>
      <c r="C36">
        <v>34.1</v>
      </c>
      <c r="D36" s="97">
        <v>2.2599999999999909</v>
      </c>
      <c r="E36" t="s">
        <v>309</v>
      </c>
      <c r="F36" s="57">
        <v>0.246</v>
      </c>
      <c r="G36" s="67">
        <v>4.5999999999999996</v>
      </c>
      <c r="H36" t="s">
        <v>1625</v>
      </c>
      <c r="I36" s="2" t="s">
        <v>1626</v>
      </c>
      <c r="J36" s="2">
        <v>0.5</v>
      </c>
      <c r="K36" t="s">
        <v>1627</v>
      </c>
      <c r="L36" s="7">
        <v>145</v>
      </c>
      <c r="M36">
        <v>52</v>
      </c>
      <c r="O36" s="7"/>
      <c r="P36">
        <f t="shared" si="5"/>
        <v>47</v>
      </c>
      <c r="Q36" s="7" t="s">
        <v>1549</v>
      </c>
      <c r="R36" s="483" t="s">
        <v>390</v>
      </c>
      <c r="S36" s="53">
        <v>98</v>
      </c>
      <c r="T36" s="53">
        <v>-25</v>
      </c>
      <c r="U36" s="2">
        <f t="shared" ref="U36:U41" si="7">IF(ISBLANK(L36),"non",360-L36)</f>
        <v>215</v>
      </c>
      <c r="V36" s="53" t="s">
        <v>454</v>
      </c>
      <c r="W36" s="441">
        <f t="shared" si="0"/>
        <v>313</v>
      </c>
      <c r="X36" s="3">
        <f t="shared" si="6"/>
        <v>-25</v>
      </c>
      <c r="AB36" s="483" t="s">
        <v>1261</v>
      </c>
      <c r="AC36">
        <v>174</v>
      </c>
      <c r="AD36">
        <v>20</v>
      </c>
      <c r="AE36" t="e">
        <f>IF(LEFT(AG36,1)="s", NA(), IF((AC36+U36)&gt;360,AC36+U36-360,AC36+U36))</f>
        <v>#N/A</v>
      </c>
      <c r="AF36" t="e">
        <f>IF(LEFT(AG36,1)="s",NA(),(AD36))</f>
        <v>#N/A</v>
      </c>
      <c r="AG36" t="s">
        <v>167</v>
      </c>
      <c r="AH36" t="s">
        <v>88</v>
      </c>
      <c r="AI36" s="494"/>
      <c r="AJ36" s="498"/>
      <c r="AK36" s="7"/>
      <c r="AL36" s="53"/>
      <c r="AM36" s="220"/>
      <c r="AN36" s="67"/>
      <c r="AO36" s="5">
        <f>X36</f>
        <v>-25</v>
      </c>
      <c r="AP36" s="67"/>
      <c r="AQ36" s="67"/>
      <c r="AR36" s="67"/>
      <c r="AS36" s="67"/>
      <c r="AT36" s="51">
        <v>30.621959999999998</v>
      </c>
      <c r="AV36" s="51">
        <v>13.850000000000136</v>
      </c>
    </row>
    <row r="37" spans="1:85">
      <c r="B37" s="152"/>
      <c r="C37">
        <v>35.1</v>
      </c>
      <c r="D37" s="97">
        <v>1.8800000000001091</v>
      </c>
      <c r="F37" s="57">
        <v>0.19500000000000001</v>
      </c>
      <c r="G37" s="67">
        <v>9.6999999999999993</v>
      </c>
      <c r="H37" t="s">
        <v>1628</v>
      </c>
      <c r="J37" s="2">
        <v>1.2</v>
      </c>
      <c r="K37" t="s">
        <v>318</v>
      </c>
      <c r="L37" s="7">
        <v>272</v>
      </c>
      <c r="M37">
        <v>69</v>
      </c>
      <c r="O37" s="7" t="s">
        <v>1548</v>
      </c>
      <c r="P37">
        <f t="shared" si="5"/>
        <v>45</v>
      </c>
      <c r="Q37" s="7" t="s">
        <v>1549</v>
      </c>
      <c r="R37" s="483" t="s">
        <v>390</v>
      </c>
      <c r="S37">
        <v>317</v>
      </c>
      <c r="T37">
        <v>-24</v>
      </c>
      <c r="U37" s="2">
        <f t="shared" si="7"/>
        <v>88</v>
      </c>
      <c r="V37" s="53" t="s">
        <v>1549</v>
      </c>
      <c r="W37">
        <f t="shared" si="0"/>
        <v>45</v>
      </c>
      <c r="X37" s="3">
        <f t="shared" si="6"/>
        <v>-24</v>
      </c>
      <c r="AB37" s="483" t="s">
        <v>313</v>
      </c>
      <c r="AC37">
        <v>211</v>
      </c>
      <c r="AD37">
        <v>39</v>
      </c>
      <c r="AE37" t="e">
        <f>IF(LEFT(AG37,1)="s", NA(), IF((AC37+U37)&gt;360,AC37+U37-360,AC37+U37))</f>
        <v>#N/A</v>
      </c>
      <c r="AF37" t="e">
        <f>IF(LEFT(AG37,1)="s",NA(),(AD37))</f>
        <v>#N/A</v>
      </c>
      <c r="AG37" t="s">
        <v>113</v>
      </c>
      <c r="AH37" t="s">
        <v>79</v>
      </c>
      <c r="AI37" s="494"/>
      <c r="AJ37" s="69"/>
      <c r="AK37" s="7">
        <v>61.1</v>
      </c>
      <c r="AL37" s="53"/>
      <c r="AM37" s="53"/>
      <c r="AN37" s="67"/>
      <c r="AP37" s="67"/>
      <c r="AQ37" s="67"/>
      <c r="AR37" s="67"/>
      <c r="AS37" s="67"/>
      <c r="AT37" s="51">
        <v>30.73142</v>
      </c>
      <c r="AV37" s="51">
        <v>13.800000000000182</v>
      </c>
    </row>
    <row r="38" spans="1:85">
      <c r="C38">
        <v>36.1</v>
      </c>
      <c r="D38" s="97">
        <v>1.3800000000001091</v>
      </c>
      <c r="F38" s="57">
        <v>0.104</v>
      </c>
      <c r="G38" s="67">
        <v>7.5</v>
      </c>
      <c r="H38" t="s">
        <v>1629</v>
      </c>
      <c r="I38" s="2" t="s">
        <v>121</v>
      </c>
      <c r="J38" s="2">
        <v>1</v>
      </c>
      <c r="K38" t="s">
        <v>463</v>
      </c>
      <c r="L38" s="7">
        <v>175</v>
      </c>
      <c r="M38">
        <v>74</v>
      </c>
      <c r="N38" t="s">
        <v>1630</v>
      </c>
      <c r="O38" s="7"/>
      <c r="P38" s="489">
        <f t="shared" si="5"/>
        <v>133</v>
      </c>
      <c r="Q38" s="158" t="s">
        <v>454</v>
      </c>
      <c r="R38" s="483" t="s">
        <v>307</v>
      </c>
      <c r="S38">
        <v>42</v>
      </c>
      <c r="T38">
        <v>-11</v>
      </c>
      <c r="U38" s="2">
        <f t="shared" si="7"/>
        <v>185</v>
      </c>
      <c r="V38" s="53" t="s">
        <v>454</v>
      </c>
      <c r="W38" s="441">
        <f t="shared" si="0"/>
        <v>227</v>
      </c>
      <c r="X38" s="3">
        <f t="shared" si="6"/>
        <v>-11</v>
      </c>
      <c r="Y38" s="483" t="s">
        <v>307</v>
      </c>
      <c r="Z38">
        <v>41</v>
      </c>
      <c r="AA38">
        <v>-4</v>
      </c>
      <c r="AB38" s="483" t="s">
        <v>1631</v>
      </c>
      <c r="AC38">
        <v>38</v>
      </c>
      <c r="AD38">
        <v>-29</v>
      </c>
      <c r="AE38" t="e">
        <f>IF(LEFT(AG38,1)="s", NA(), IF((AC38+U38)&gt;360,AC38+U38-360,AC38+U38))</f>
        <v>#N/A</v>
      </c>
      <c r="AF38" t="e">
        <f>IF(LEFT(AG38,1)="s",NA(),(AD38))</f>
        <v>#N/A</v>
      </c>
      <c r="AG38" t="s">
        <v>113</v>
      </c>
      <c r="AH38" t="s">
        <v>88</v>
      </c>
      <c r="AI38" s="494"/>
      <c r="AJ38" s="498"/>
      <c r="AK38" s="7"/>
      <c r="AL38" s="53"/>
      <c r="AM38" s="53"/>
      <c r="AN38" s="67"/>
      <c r="AO38" s="5">
        <f>X38</f>
        <v>-11</v>
      </c>
      <c r="AP38" s="67"/>
      <c r="AQ38" s="67"/>
      <c r="AR38" s="67"/>
      <c r="AS38" s="67"/>
      <c r="AT38" s="51">
        <v>29.755180000000003</v>
      </c>
      <c r="AV38" s="51">
        <v>13.75</v>
      </c>
    </row>
    <row r="39" spans="1:85">
      <c r="B39" s="152"/>
      <c r="C39" t="s">
        <v>1632</v>
      </c>
      <c r="D39" s="97">
        <v>0.76999999999998181</v>
      </c>
      <c r="F39" s="57">
        <v>0.19500000000000001</v>
      </c>
      <c r="G39" s="67">
        <v>27.8</v>
      </c>
      <c r="H39" t="s">
        <v>1633</v>
      </c>
      <c r="I39" s="2" t="s">
        <v>121</v>
      </c>
      <c r="J39" s="2">
        <v>2</v>
      </c>
      <c r="K39" t="s">
        <v>1634</v>
      </c>
      <c r="L39" s="7">
        <v>245</v>
      </c>
      <c r="M39">
        <v>72</v>
      </c>
      <c r="N39" t="s">
        <v>1635</v>
      </c>
      <c r="O39" s="7"/>
      <c r="P39">
        <f t="shared" si="5"/>
        <v>75</v>
      </c>
      <c r="Q39" s="7" t="s">
        <v>1549</v>
      </c>
      <c r="R39" s="493" t="s">
        <v>129</v>
      </c>
      <c r="S39" s="7">
        <v>170</v>
      </c>
      <c r="T39">
        <v>-12</v>
      </c>
      <c r="U39" s="2">
        <f t="shared" si="7"/>
        <v>115</v>
      </c>
      <c r="V39" s="53" t="s">
        <v>454</v>
      </c>
      <c r="W39" s="441">
        <f t="shared" si="0"/>
        <v>285</v>
      </c>
      <c r="X39" s="3">
        <f t="shared" si="6"/>
        <v>-12</v>
      </c>
      <c r="Y39" s="502" t="s">
        <v>180</v>
      </c>
      <c r="Z39" s="206">
        <v>193</v>
      </c>
      <c r="AA39" s="206">
        <v>-1</v>
      </c>
      <c r="AB39" s="483"/>
      <c r="AG39" t="s">
        <v>113</v>
      </c>
      <c r="AH39" t="s">
        <v>88</v>
      </c>
      <c r="AI39" s="494"/>
      <c r="AJ39" s="498"/>
      <c r="AK39" s="7"/>
      <c r="AL39" s="220"/>
      <c r="AM39" s="53"/>
      <c r="AN39" s="67"/>
      <c r="AO39" s="5">
        <f>X39</f>
        <v>-12</v>
      </c>
      <c r="AP39" s="67"/>
      <c r="AQ39" s="67"/>
      <c r="AR39" s="67"/>
      <c r="AT39" s="51">
        <v>31.821729999999999</v>
      </c>
      <c r="AV39" s="51">
        <v>13.700000000000045</v>
      </c>
    </row>
    <row r="40" spans="1:85" s="38" customFormat="1" ht="15.75" thickBot="1">
      <c r="A40" s="38" t="s">
        <v>1636</v>
      </c>
      <c r="B40" s="503" t="s">
        <v>1637</v>
      </c>
      <c r="C40" s="38">
        <v>21.1</v>
      </c>
      <c r="D40" s="97">
        <v>0.28000000000020009</v>
      </c>
      <c r="E40" s="38">
        <v>4</v>
      </c>
      <c r="F40" s="504">
        <v>0.214</v>
      </c>
      <c r="G40" s="505">
        <v>7.1</v>
      </c>
      <c r="H40" s="38" t="s">
        <v>1638</v>
      </c>
      <c r="I40" s="506" t="s">
        <v>1639</v>
      </c>
      <c r="J40" s="506">
        <v>2</v>
      </c>
      <c r="K40" s="38" t="s">
        <v>1640</v>
      </c>
      <c r="L40" s="507">
        <v>179</v>
      </c>
      <c r="M40" s="38">
        <v>70</v>
      </c>
      <c r="O40" s="217"/>
      <c r="P40">
        <f t="shared" si="5"/>
        <v>135</v>
      </c>
      <c r="Q40" s="217" t="s">
        <v>1641</v>
      </c>
      <c r="R40" s="508" t="s">
        <v>1642</v>
      </c>
      <c r="S40" s="38">
        <v>44</v>
      </c>
      <c r="T40" s="38">
        <v>18</v>
      </c>
      <c r="U40" s="2">
        <f t="shared" si="7"/>
        <v>181</v>
      </c>
      <c r="V40" s="217" t="s">
        <v>1549</v>
      </c>
      <c r="W40" s="38">
        <f t="shared" si="0"/>
        <v>225</v>
      </c>
      <c r="X40" s="509">
        <f t="shared" si="6"/>
        <v>18</v>
      </c>
      <c r="Y40" s="506"/>
      <c r="AB40" s="508" t="s">
        <v>341</v>
      </c>
      <c r="AC40" s="38">
        <v>319</v>
      </c>
      <c r="AD40" s="38">
        <v>8</v>
      </c>
      <c r="AE40" s="38" t="e">
        <f>IF(LEFT(AG40,1)="s", NA(), IF((AC40+U40)&gt;360,AC40+U40-360,AC40+U40))</f>
        <v>#N/A</v>
      </c>
      <c r="AF40" s="38" t="e">
        <f>IF(LEFT(AG40,1)="s",NA(),(AD40))</f>
        <v>#N/A</v>
      </c>
      <c r="AG40" s="38" t="s">
        <v>113</v>
      </c>
      <c r="AH40" s="38" t="s">
        <v>1643</v>
      </c>
      <c r="AI40" s="510"/>
      <c r="AJ40" s="511"/>
      <c r="AK40" s="7">
        <v>-60</v>
      </c>
      <c r="AL40" s="217"/>
      <c r="AM40" s="217"/>
      <c r="AN40" s="67"/>
      <c r="AO40" s="5"/>
      <c r="AP40" s="67"/>
      <c r="AQ40" s="67"/>
      <c r="AR40" s="67"/>
      <c r="AS40" s="67"/>
      <c r="AT40" s="51">
        <v>31.075820000000004</v>
      </c>
      <c r="AU40"/>
      <c r="AV40" s="51">
        <v>13.650000000000091</v>
      </c>
    </row>
    <row r="41" spans="1:85">
      <c r="B41" s="152"/>
      <c r="C41">
        <v>22.1</v>
      </c>
      <c r="D41" s="97">
        <v>-2.9999999999972715E-2</v>
      </c>
      <c r="E41">
        <v>4</v>
      </c>
      <c r="F41" s="57">
        <v>0.79100000000000004</v>
      </c>
      <c r="G41" s="67">
        <v>4.9000000000000004</v>
      </c>
      <c r="H41" t="s">
        <v>1644</v>
      </c>
      <c r="I41" s="2" t="s">
        <v>1645</v>
      </c>
      <c r="J41" s="2">
        <v>1.4</v>
      </c>
      <c r="K41" t="s">
        <v>119</v>
      </c>
      <c r="L41" s="443">
        <v>310</v>
      </c>
      <c r="M41" s="7">
        <v>76</v>
      </c>
      <c r="N41" s="7" t="s">
        <v>1646</v>
      </c>
      <c r="P41">
        <f t="shared" si="5"/>
        <v>69</v>
      </c>
      <c r="Q41" s="53" t="s">
        <v>1549</v>
      </c>
      <c r="R41" s="483" t="s">
        <v>1647</v>
      </c>
      <c r="S41">
        <v>19</v>
      </c>
      <c r="T41">
        <v>-26</v>
      </c>
      <c r="U41" s="2">
        <f t="shared" si="7"/>
        <v>50</v>
      </c>
      <c r="V41" s="53" t="s">
        <v>1549</v>
      </c>
      <c r="W41" s="7">
        <f t="shared" si="0"/>
        <v>69</v>
      </c>
      <c r="X41" s="3">
        <f t="shared" si="6"/>
        <v>-26</v>
      </c>
      <c r="AB41" s="483" t="s">
        <v>78</v>
      </c>
      <c r="AC41">
        <v>326</v>
      </c>
      <c r="AD41">
        <v>25</v>
      </c>
      <c r="AE41" t="e">
        <f>IF(LEFT(AG41,1)="s", NA(), IF((AC41+U41)&gt;360,AC41+U41-360,AC41+U41))</f>
        <v>#N/A</v>
      </c>
      <c r="AF41" t="e">
        <f>IF(LEFT(AG41,1)="s",NA(),(AD41))</f>
        <v>#N/A</v>
      </c>
      <c r="AG41" t="s">
        <v>113</v>
      </c>
      <c r="AH41" s="7" t="s">
        <v>88</v>
      </c>
      <c r="AI41" s="494"/>
      <c r="AJ41" s="498"/>
      <c r="AK41">
        <v>38.6</v>
      </c>
      <c r="AL41" s="53"/>
      <c r="AM41" s="53"/>
      <c r="AN41" s="67"/>
      <c r="AP41" s="67"/>
      <c r="AQ41" s="67"/>
      <c r="AR41" s="67"/>
      <c r="AT41" s="51">
        <v>31.613479999999999</v>
      </c>
      <c r="AV41" s="51">
        <v>13.600000000000136</v>
      </c>
    </row>
    <row r="42" spans="1:85" ht="15.75" thickBot="1">
      <c r="B42" s="152"/>
      <c r="C42" t="s">
        <v>1648</v>
      </c>
      <c r="D42" s="97">
        <v>-0.64999999999986358</v>
      </c>
      <c r="E42">
        <v>5</v>
      </c>
      <c r="F42" s="57">
        <v>0.105</v>
      </c>
      <c r="G42" s="67">
        <v>7.6</v>
      </c>
      <c r="H42" t="s">
        <v>1649</v>
      </c>
      <c r="I42" s="2" t="s">
        <v>121</v>
      </c>
      <c r="J42" s="2">
        <v>1</v>
      </c>
      <c r="K42" t="s">
        <v>720</v>
      </c>
      <c r="L42" s="443">
        <v>246</v>
      </c>
      <c r="M42" s="7">
        <v>74</v>
      </c>
      <c r="N42" s="7" t="s">
        <v>1650</v>
      </c>
      <c r="P42" s="489">
        <f t="shared" si="5"/>
        <v>93</v>
      </c>
      <c r="Q42" s="159" t="s">
        <v>454</v>
      </c>
      <c r="R42" s="483" t="s">
        <v>1651</v>
      </c>
      <c r="S42">
        <v>339</v>
      </c>
      <c r="T42">
        <v>66</v>
      </c>
      <c r="U42" s="512">
        <f>360-AVERAGE(L42:L43)</f>
        <v>112.5</v>
      </c>
      <c r="V42" s="53" t="s">
        <v>454</v>
      </c>
      <c r="W42" s="441">
        <f t="shared" si="0"/>
        <v>91.5</v>
      </c>
      <c r="X42" s="3">
        <f t="shared" si="6"/>
        <v>66</v>
      </c>
      <c r="AB42" s="483"/>
      <c r="AG42" t="s">
        <v>113</v>
      </c>
      <c r="AH42" t="s">
        <v>114</v>
      </c>
      <c r="AI42" s="496"/>
      <c r="AJ42" s="100"/>
      <c r="AL42" s="53"/>
      <c r="AM42" s="53"/>
      <c r="AN42" s="67"/>
      <c r="AO42" s="5">
        <f>X42</f>
        <v>66</v>
      </c>
      <c r="AP42" s="67"/>
      <c r="AQ42" s="67"/>
      <c r="AR42" s="67"/>
      <c r="AT42" s="51">
        <v>31.896620000000002</v>
      </c>
      <c r="AV42" s="51">
        <v>13.550000000000182</v>
      </c>
      <c r="CG42" s="481"/>
    </row>
    <row r="43" spans="1:85">
      <c r="B43" s="152"/>
      <c r="C43">
        <v>24.1</v>
      </c>
      <c r="D43" s="97">
        <v>-1.1499999999998636</v>
      </c>
      <c r="E43" t="s">
        <v>1652</v>
      </c>
      <c r="F43" s="57">
        <v>0.151</v>
      </c>
      <c r="G43" s="67">
        <v>3</v>
      </c>
      <c r="H43" t="s">
        <v>1653</v>
      </c>
      <c r="I43" s="2" t="s">
        <v>1654</v>
      </c>
      <c r="J43" s="2">
        <v>1</v>
      </c>
      <c r="K43" t="s">
        <v>119</v>
      </c>
      <c r="L43" s="443">
        <v>249</v>
      </c>
      <c r="M43">
        <v>75</v>
      </c>
      <c r="O43" t="s">
        <v>1548</v>
      </c>
      <c r="P43">
        <f t="shared" si="5"/>
        <v>171</v>
      </c>
      <c r="Q43" s="53" t="s">
        <v>1549</v>
      </c>
      <c r="R43" s="483" t="s">
        <v>1588</v>
      </c>
      <c r="S43">
        <v>78</v>
      </c>
      <c r="T43">
        <v>28</v>
      </c>
      <c r="U43" s="484">
        <f>U42</f>
        <v>112.5</v>
      </c>
      <c r="V43" s="53" t="s">
        <v>1550</v>
      </c>
      <c r="W43">
        <f t="shared" si="0"/>
        <v>190.5</v>
      </c>
      <c r="X43" s="3">
        <f t="shared" si="6"/>
        <v>28</v>
      </c>
      <c r="Y43" s="2" t="s">
        <v>69</v>
      </c>
      <c r="Z43" t="s">
        <v>69</v>
      </c>
      <c r="AA43" t="s">
        <v>69</v>
      </c>
      <c r="AB43" s="483" t="s">
        <v>245</v>
      </c>
      <c r="AC43">
        <v>356</v>
      </c>
      <c r="AD43">
        <v>16</v>
      </c>
      <c r="AE43" t="e">
        <f>IF(LEFT(AG43,1)="s", NA(), IF((AC43+U43)&gt;360,AC43+U43-360,AC43+U43))</f>
        <v>#N/A</v>
      </c>
      <c r="AF43" t="e">
        <f>IF(LEFT(AG43,1)="s",NA(),(AD43))</f>
        <v>#N/A</v>
      </c>
      <c r="AG43" t="s">
        <v>167</v>
      </c>
      <c r="AH43" t="s">
        <v>309</v>
      </c>
      <c r="AI43" s="492"/>
      <c r="AJ43" s="80"/>
      <c r="AK43">
        <v>-84</v>
      </c>
      <c r="AL43" s="220"/>
      <c r="AM43" s="53"/>
      <c r="AN43" s="67"/>
      <c r="AP43" s="67"/>
      <c r="AQ43" s="67"/>
      <c r="AR43" s="67"/>
      <c r="AT43" s="51">
        <v>32.30659</v>
      </c>
      <c r="AV43" s="51">
        <v>13.5</v>
      </c>
      <c r="CG43" s="481"/>
    </row>
    <row r="44" spans="1:85" ht="15.75" thickBot="1">
      <c r="B44" s="152"/>
      <c r="C44" t="s">
        <v>1655</v>
      </c>
      <c r="D44" s="97">
        <v>-1.7899999999999636</v>
      </c>
      <c r="E44">
        <v>6</v>
      </c>
      <c r="F44" s="57">
        <v>0.107</v>
      </c>
      <c r="G44" s="67">
        <v>3</v>
      </c>
      <c r="H44" t="s">
        <v>1656</v>
      </c>
      <c r="I44" s="2" t="s">
        <v>121</v>
      </c>
      <c r="J44" s="2">
        <v>1.5</v>
      </c>
      <c r="K44" t="s">
        <v>720</v>
      </c>
      <c r="L44" s="443">
        <v>259</v>
      </c>
      <c r="M44">
        <v>75</v>
      </c>
      <c r="N44" t="s">
        <v>1657</v>
      </c>
      <c r="P44" s="489">
        <f t="shared" si="5"/>
        <v>177</v>
      </c>
      <c r="Q44" s="159" t="s">
        <v>454</v>
      </c>
      <c r="R44" s="483" t="s">
        <v>1614</v>
      </c>
      <c r="S44">
        <v>76</v>
      </c>
      <c r="T44">
        <v>-37</v>
      </c>
      <c r="U44" s="512">
        <f>360-AVERAGE(L44:L45)</f>
        <v>103</v>
      </c>
      <c r="V44" s="53" t="s">
        <v>454</v>
      </c>
      <c r="W44" s="441">
        <f t="shared" si="0"/>
        <v>179</v>
      </c>
      <c r="X44" s="3">
        <f t="shared" si="6"/>
        <v>-37</v>
      </c>
      <c r="Y44" s="502" t="s">
        <v>423</v>
      </c>
      <c r="Z44" s="206">
        <v>152</v>
      </c>
      <c r="AA44" s="206">
        <v>-24</v>
      </c>
      <c r="AB44" s="483"/>
      <c r="AG44" t="s">
        <v>167</v>
      </c>
      <c r="AH44" t="s">
        <v>67</v>
      </c>
      <c r="AI44" s="494"/>
      <c r="AJ44" s="69"/>
      <c r="AL44" s="220"/>
      <c r="AM44" s="53"/>
      <c r="AN44" s="67"/>
      <c r="AO44" s="5">
        <f>X44</f>
        <v>-37</v>
      </c>
      <c r="AP44" s="67"/>
      <c r="AQ44" s="67"/>
      <c r="AR44" s="67"/>
      <c r="AT44" s="51">
        <v>31.596929999999997</v>
      </c>
      <c r="AV44" s="51">
        <v>13.450000000000045</v>
      </c>
      <c r="CG44" s="481"/>
    </row>
    <row r="45" spans="1:85">
      <c r="B45" s="152"/>
      <c r="C45" t="s">
        <v>1658</v>
      </c>
      <c r="D45" s="97">
        <v>-2.2400000000000091</v>
      </c>
      <c r="E45">
        <v>6</v>
      </c>
      <c r="F45" s="57">
        <v>0.128</v>
      </c>
      <c r="G45" s="67">
        <v>3.6</v>
      </c>
      <c r="H45" t="s">
        <v>1659</v>
      </c>
      <c r="I45" s="2" t="s">
        <v>121</v>
      </c>
      <c r="J45" s="2">
        <v>1.2</v>
      </c>
      <c r="K45" t="s">
        <v>1621</v>
      </c>
      <c r="L45" s="443">
        <v>255</v>
      </c>
      <c r="M45">
        <v>74</v>
      </c>
      <c r="N45" t="s">
        <v>1660</v>
      </c>
      <c r="P45">
        <f t="shared" si="5"/>
        <v>34</v>
      </c>
      <c r="Q45" s="53" t="s">
        <v>1549</v>
      </c>
      <c r="R45" s="483" t="s">
        <v>1661</v>
      </c>
      <c r="S45">
        <v>289</v>
      </c>
      <c r="T45">
        <v>-49</v>
      </c>
      <c r="U45" s="484">
        <f>U44</f>
        <v>103</v>
      </c>
      <c r="V45" s="53" t="s">
        <v>1550</v>
      </c>
      <c r="W45">
        <f t="shared" si="0"/>
        <v>32</v>
      </c>
      <c r="X45" s="3">
        <f t="shared" si="6"/>
        <v>-49</v>
      </c>
      <c r="Y45" s="502" t="s">
        <v>1561</v>
      </c>
      <c r="Z45" s="206">
        <v>170</v>
      </c>
      <c r="AA45" s="206">
        <v>-26</v>
      </c>
      <c r="AB45" s="483"/>
      <c r="AG45" t="s">
        <v>1662</v>
      </c>
      <c r="AH45" t="s">
        <v>168</v>
      </c>
      <c r="AI45" s="494"/>
      <c r="AJ45" s="69"/>
      <c r="AK45">
        <v>71.2</v>
      </c>
      <c r="AL45" s="220"/>
      <c r="AM45" s="53"/>
      <c r="AN45" s="67"/>
      <c r="AP45" s="67"/>
      <c r="AQ45" s="67"/>
      <c r="AR45" s="67"/>
      <c r="AT45" s="51">
        <v>30.5886</v>
      </c>
      <c r="AV45" s="51">
        <v>13.400000000000091</v>
      </c>
      <c r="CG45" s="481"/>
    </row>
    <row r="46" spans="1:85">
      <c r="B46" s="152"/>
      <c r="C46">
        <v>27.1</v>
      </c>
      <c r="D46" s="97">
        <v>-2.6999999999998181</v>
      </c>
      <c r="E46" t="s">
        <v>309</v>
      </c>
      <c r="F46" s="57">
        <v>0.17199999999999999</v>
      </c>
      <c r="G46" s="67">
        <v>4.7</v>
      </c>
      <c r="H46" t="s">
        <v>1663</v>
      </c>
      <c r="I46" s="2" t="s">
        <v>1664</v>
      </c>
      <c r="J46" s="2">
        <v>1</v>
      </c>
      <c r="K46" t="s">
        <v>92</v>
      </c>
      <c r="L46">
        <v>39</v>
      </c>
      <c r="M46">
        <v>76</v>
      </c>
      <c r="N46" s="500" t="s">
        <v>1665</v>
      </c>
      <c r="O46" s="7"/>
      <c r="P46">
        <f t="shared" si="5"/>
        <v>166</v>
      </c>
      <c r="Q46" s="53" t="s">
        <v>1549</v>
      </c>
      <c r="R46" s="493" t="s">
        <v>313</v>
      </c>
      <c r="S46" s="7">
        <v>233</v>
      </c>
      <c r="T46">
        <v>39</v>
      </c>
      <c r="U46" s="2">
        <f>IF(ISBLANK(L46),"non",360-L46)</f>
        <v>321</v>
      </c>
      <c r="V46" s="53" t="s">
        <v>1549</v>
      </c>
      <c r="W46">
        <f t="shared" si="0"/>
        <v>194</v>
      </c>
      <c r="X46" s="3">
        <f t="shared" si="6"/>
        <v>39</v>
      </c>
      <c r="Y46" s="2" t="s">
        <v>464</v>
      </c>
      <c r="Z46">
        <v>346</v>
      </c>
      <c r="AA46">
        <v>-8</v>
      </c>
      <c r="AB46" s="483" t="s">
        <v>1642</v>
      </c>
      <c r="AC46">
        <v>33</v>
      </c>
      <c r="AD46">
        <v>79</v>
      </c>
      <c r="AE46" t="e">
        <f>IF(LEFT(AG46,1)="s", NA(), IF((AC46+U46)&gt;360,AC46+U46-360,AC46+U46))</f>
        <v>#N/A</v>
      </c>
      <c r="AF46" t="e">
        <f>IF(LEFT(AG46,1)="s",NA(),(AD46))</f>
        <v>#N/A</v>
      </c>
      <c r="AG46" t="s">
        <v>113</v>
      </c>
      <c r="AH46" t="s">
        <v>1643</v>
      </c>
      <c r="AI46" s="492"/>
      <c r="AJ46" s="498"/>
      <c r="AK46">
        <v>-86.1</v>
      </c>
      <c r="AL46" s="220"/>
      <c r="AM46" s="53"/>
      <c r="AN46" s="67"/>
      <c r="AP46" s="67"/>
      <c r="AQ46" s="67"/>
      <c r="AR46" s="67"/>
      <c r="AT46" s="51">
        <v>31.467970000000001</v>
      </c>
      <c r="AV46" s="51">
        <v>13.350000000000136</v>
      </c>
      <c r="CG46" s="481"/>
    </row>
    <row r="47" spans="1:85" ht="15.75" thickBot="1">
      <c r="B47" s="152"/>
      <c r="C47" t="s">
        <v>1666</v>
      </c>
      <c r="D47" s="97">
        <v>-3.3499999999999091</v>
      </c>
      <c r="F47" s="57">
        <v>9.5899999999999999E-2</v>
      </c>
      <c r="G47" s="67">
        <v>4.2</v>
      </c>
      <c r="H47" t="s">
        <v>1667</v>
      </c>
      <c r="I47" s="2" t="s">
        <v>121</v>
      </c>
      <c r="J47" s="2">
        <v>1.4</v>
      </c>
      <c r="K47" t="s">
        <v>1621</v>
      </c>
      <c r="L47" s="4">
        <v>264</v>
      </c>
      <c r="M47">
        <v>76</v>
      </c>
      <c r="N47" t="s">
        <v>1668</v>
      </c>
      <c r="O47" s="7"/>
      <c r="P47" s="489">
        <f t="shared" si="5"/>
        <v>110</v>
      </c>
      <c r="Q47" s="159" t="s">
        <v>454</v>
      </c>
      <c r="R47" s="493" t="s">
        <v>141</v>
      </c>
      <c r="S47" s="7">
        <v>154</v>
      </c>
      <c r="T47">
        <v>-35</v>
      </c>
      <c r="U47" s="501">
        <f>360-AVERAGE(L47:L48)</f>
        <v>98</v>
      </c>
      <c r="V47" s="53" t="s">
        <v>454</v>
      </c>
      <c r="W47" s="441">
        <f t="shared" si="0"/>
        <v>252</v>
      </c>
      <c r="X47" s="3">
        <f t="shared" si="6"/>
        <v>-35</v>
      </c>
      <c r="Y47" s="493" t="s">
        <v>1623</v>
      </c>
      <c r="Z47" s="7">
        <v>335</v>
      </c>
      <c r="AA47" s="7">
        <v>55</v>
      </c>
      <c r="AB47" s="483"/>
      <c r="AG47" t="s">
        <v>167</v>
      </c>
      <c r="AH47" t="s">
        <v>168</v>
      </c>
      <c r="AI47" s="494"/>
      <c r="AJ47" s="69"/>
      <c r="AL47" s="220"/>
      <c r="AM47" s="53"/>
      <c r="AN47" s="67"/>
      <c r="AO47" s="5">
        <f>X47</f>
        <v>-35</v>
      </c>
      <c r="AP47" s="67"/>
      <c r="AQ47" s="67"/>
      <c r="AR47" s="67"/>
      <c r="AT47" s="51">
        <v>30.49183</v>
      </c>
      <c r="AV47" s="51">
        <v>13.300000000000182</v>
      </c>
      <c r="CG47" s="481"/>
    </row>
    <row r="48" spans="1:85">
      <c r="B48" s="152"/>
      <c r="C48" t="s">
        <v>1669</v>
      </c>
      <c r="D48" s="97">
        <v>-3.7599999999999909</v>
      </c>
      <c r="F48" s="57">
        <v>0.17799999999999999</v>
      </c>
      <c r="G48" s="67">
        <v>1.2</v>
      </c>
      <c r="H48" t="s">
        <v>1670</v>
      </c>
      <c r="I48" s="2" t="s">
        <v>121</v>
      </c>
      <c r="J48" s="2">
        <v>3</v>
      </c>
      <c r="K48" t="s">
        <v>1621</v>
      </c>
      <c r="L48" s="4">
        <v>260</v>
      </c>
      <c r="M48">
        <v>72</v>
      </c>
      <c r="O48" s="7"/>
      <c r="P48">
        <f t="shared" si="5"/>
        <v>117</v>
      </c>
      <c r="Q48" s="53" t="s">
        <v>1549</v>
      </c>
      <c r="R48" s="493" t="s">
        <v>1671</v>
      </c>
      <c r="S48" s="7">
        <v>17</v>
      </c>
      <c r="T48">
        <v>7</v>
      </c>
      <c r="U48" s="440">
        <f>U47</f>
        <v>98</v>
      </c>
      <c r="V48" s="53" t="s">
        <v>454</v>
      </c>
      <c r="W48" s="441">
        <f t="shared" si="0"/>
        <v>115</v>
      </c>
      <c r="AB48" s="483" t="s">
        <v>1672</v>
      </c>
      <c r="AC48">
        <v>94</v>
      </c>
      <c r="AD48">
        <v>-17</v>
      </c>
      <c r="AE48">
        <f>IF(LEFT(AG48,1)="s", NA(), IF((AC48+U48)&gt;360,AC48+U48-360,AC48+U48))</f>
        <v>192</v>
      </c>
      <c r="AF48">
        <f>IF(LEFT(AG48,1)="s",NA(),(AD48))</f>
        <v>-17</v>
      </c>
      <c r="AG48" t="s">
        <v>1673</v>
      </c>
      <c r="AH48" t="s">
        <v>114</v>
      </c>
      <c r="AI48" s="492"/>
      <c r="AJ48" s="100"/>
      <c r="AK48" s="53"/>
      <c r="AL48" s="67">
        <v>205</v>
      </c>
      <c r="AM48" s="67">
        <v>72.599999999999994</v>
      </c>
      <c r="AN48" s="5">
        <v>-49.9</v>
      </c>
      <c r="AP48" s="67"/>
      <c r="AQ48" s="67"/>
      <c r="AR48" s="67"/>
      <c r="AT48" s="51">
        <v>33.615210000000005</v>
      </c>
      <c r="AV48" s="51">
        <v>13.25</v>
      </c>
      <c r="CG48" s="481"/>
    </row>
    <row r="49" spans="2:85" ht="15.75" thickBot="1">
      <c r="B49" s="152"/>
      <c r="C49">
        <v>40.1</v>
      </c>
      <c r="D49" s="97">
        <v>-4.1299999999998818</v>
      </c>
      <c r="F49" s="57">
        <v>0.13500000000000001</v>
      </c>
      <c r="G49" s="67">
        <v>4.0999999999999996</v>
      </c>
      <c r="H49" t="s">
        <v>1663</v>
      </c>
      <c r="J49" s="2">
        <v>1</v>
      </c>
      <c r="K49" t="s">
        <v>92</v>
      </c>
      <c r="L49" s="4">
        <v>152</v>
      </c>
      <c r="M49">
        <v>75</v>
      </c>
      <c r="O49" t="s">
        <v>1548</v>
      </c>
      <c r="P49">
        <f t="shared" si="5"/>
        <v>167</v>
      </c>
      <c r="Q49" s="53" t="s">
        <v>1587</v>
      </c>
      <c r="R49" s="483" t="s">
        <v>1261</v>
      </c>
      <c r="S49">
        <v>345</v>
      </c>
      <c r="T49">
        <v>37</v>
      </c>
      <c r="U49" s="501">
        <f>360-AVERAGE(L49:L51)</f>
        <v>201.33333333333334</v>
      </c>
      <c r="V49" s="53" t="s">
        <v>1550</v>
      </c>
      <c r="W49">
        <f t="shared" si="0"/>
        <v>186.33333333333337</v>
      </c>
      <c r="X49" s="3">
        <f>IF(ISBLANK(T49),"",T49)</f>
        <v>37</v>
      </c>
      <c r="AB49" s="483" t="s">
        <v>1588</v>
      </c>
      <c r="AC49">
        <v>263</v>
      </c>
      <c r="AD49">
        <v>-18</v>
      </c>
      <c r="AE49" t="e">
        <f>IF(LEFT(AG49,1)="s", NA(), IF((AC49+U49)&gt;360,AC49+U49-360,AC49+U49))</f>
        <v>#N/A</v>
      </c>
      <c r="AF49" t="e">
        <f>IF(LEFT(AG49,1)="s",NA(),(AD49))</f>
        <v>#N/A</v>
      </c>
      <c r="AG49" t="s">
        <v>167</v>
      </c>
      <c r="AH49" t="s">
        <v>309</v>
      </c>
      <c r="AI49" s="492"/>
      <c r="AJ49" s="80"/>
      <c r="AK49">
        <v>-81</v>
      </c>
      <c r="AL49" s="220"/>
      <c r="AM49" s="53"/>
      <c r="AP49" s="67"/>
      <c r="AQ49" s="67"/>
      <c r="AR49" s="67"/>
      <c r="AT49" s="51">
        <v>34.758620000000001</v>
      </c>
      <c r="AV49" s="51">
        <v>13.200000000000045</v>
      </c>
      <c r="CG49" s="481"/>
    </row>
    <row r="50" spans="2:85" ht="15.75" thickBot="1">
      <c r="B50" s="152"/>
      <c r="C50" t="s">
        <v>1674</v>
      </c>
      <c r="D50" s="97">
        <v>-4.8499999999999091</v>
      </c>
      <c r="F50" s="57">
        <v>0.23100000000000001</v>
      </c>
      <c r="G50" s="67">
        <v>2</v>
      </c>
      <c r="H50" t="s">
        <v>1675</v>
      </c>
      <c r="J50" s="2">
        <v>2</v>
      </c>
      <c r="K50" t="s">
        <v>720</v>
      </c>
      <c r="L50" s="4">
        <v>170</v>
      </c>
      <c r="M50">
        <v>74</v>
      </c>
      <c r="P50">
        <f t="shared" si="5"/>
        <v>166</v>
      </c>
      <c r="Q50" s="53" t="s">
        <v>1587</v>
      </c>
      <c r="R50" s="483" t="s">
        <v>1661</v>
      </c>
      <c r="S50">
        <v>4</v>
      </c>
      <c r="T50">
        <v>6</v>
      </c>
      <c r="U50" s="501">
        <f>U49</f>
        <v>201.33333333333334</v>
      </c>
      <c r="V50" s="53" t="s">
        <v>1550</v>
      </c>
      <c r="W50">
        <f t="shared" si="0"/>
        <v>205.33333333333334</v>
      </c>
      <c r="AB50" s="483" t="s">
        <v>1233</v>
      </c>
      <c r="AC50">
        <v>265</v>
      </c>
      <c r="AD50">
        <v>0</v>
      </c>
      <c r="AE50">
        <f>IF(LEFT(AG50,1)="s", NA(), IF((AC50+U50)&gt;360,AC50+U50-360,AC50+U50))</f>
        <v>106.33333333333337</v>
      </c>
      <c r="AF50">
        <f>IF(LEFT(AG50,1)="s",NA(),(AD50))</f>
        <v>0</v>
      </c>
      <c r="AG50" t="s">
        <v>1676</v>
      </c>
      <c r="AH50" t="s">
        <v>114</v>
      </c>
      <c r="AI50" s="492"/>
      <c r="AJ50" s="80"/>
      <c r="AK50" s="53"/>
      <c r="AL50" s="67">
        <v>196.3</v>
      </c>
      <c r="AM50" s="67">
        <v>33.700000000000003</v>
      </c>
      <c r="AN50" s="5">
        <v>-89.3</v>
      </c>
      <c r="AP50" s="67"/>
      <c r="AQ50" s="67"/>
      <c r="AR50" s="67"/>
      <c r="AT50" s="51">
        <v>33.380229999999997</v>
      </c>
      <c r="AV50" s="51">
        <v>13.150000000000091</v>
      </c>
      <c r="CG50" s="481"/>
    </row>
    <row r="51" spans="2:85" ht="15.75" thickBot="1">
      <c r="B51" s="152"/>
      <c r="C51" t="s">
        <v>1677</v>
      </c>
      <c r="D51" s="97">
        <v>-5.3499999999999091</v>
      </c>
      <c r="F51" s="57">
        <v>0.221</v>
      </c>
      <c r="G51" s="67">
        <v>2.7</v>
      </c>
      <c r="H51" t="s">
        <v>1678</v>
      </c>
      <c r="I51" s="2" t="s">
        <v>121</v>
      </c>
      <c r="J51" s="2">
        <v>2</v>
      </c>
      <c r="K51" t="s">
        <v>720</v>
      </c>
      <c r="L51" s="4">
        <v>154</v>
      </c>
      <c r="M51">
        <v>68</v>
      </c>
      <c r="P51">
        <f t="shared" si="5"/>
        <v>148</v>
      </c>
      <c r="Q51" s="53" t="s">
        <v>1587</v>
      </c>
      <c r="R51" s="483" t="s">
        <v>1679</v>
      </c>
      <c r="S51">
        <v>6</v>
      </c>
      <c r="T51">
        <v>3</v>
      </c>
      <c r="U51" s="501">
        <f>U49</f>
        <v>201.33333333333334</v>
      </c>
      <c r="V51" s="53" t="s">
        <v>1550</v>
      </c>
      <c r="W51">
        <f t="shared" si="0"/>
        <v>207.33333333333334</v>
      </c>
      <c r="AB51" s="483" t="s">
        <v>245</v>
      </c>
      <c r="AC51">
        <v>87</v>
      </c>
      <c r="AD51">
        <v>-9</v>
      </c>
      <c r="AE51">
        <f>IF(LEFT(AG51,1)="s", NA(), IF((AC51+U51)&gt;360,AC51+U51-360,AC51+U51))</f>
        <v>288.33333333333337</v>
      </c>
      <c r="AF51">
        <f>IF(LEFT(AG51,1)="s",NA(),(AD51))</f>
        <v>-9</v>
      </c>
      <c r="AG51" t="s">
        <v>1680</v>
      </c>
      <c r="AH51" t="s">
        <v>114</v>
      </c>
      <c r="AI51" s="492"/>
      <c r="AJ51" s="80"/>
      <c r="AK51" s="53"/>
      <c r="AL51" s="67">
        <v>204.2</v>
      </c>
      <c r="AM51" s="67">
        <v>32.6</v>
      </c>
      <c r="AN51" s="5">
        <v>-81.8</v>
      </c>
      <c r="AP51" s="67"/>
      <c r="AT51" s="51">
        <v>33.334890000000001</v>
      </c>
      <c r="AV51" s="51">
        <v>13.100000000000136</v>
      </c>
      <c r="CG51" s="481"/>
    </row>
    <row r="52" spans="2:85">
      <c r="AT52" s="51">
        <v>33.820390000000003</v>
      </c>
      <c r="AV52" s="51">
        <v>13.050000000000182</v>
      </c>
    </row>
    <row r="53" spans="2:85">
      <c r="AT53" s="51">
        <v>33.36985</v>
      </c>
      <c r="AV53" s="51">
        <v>13</v>
      </c>
    </row>
    <row r="54" spans="2:85">
      <c r="C54" t="s">
        <v>1686</v>
      </c>
      <c r="AT54" s="51">
        <v>34.841990000000003</v>
      </c>
      <c r="AV54" s="51">
        <v>12.950000000000045</v>
      </c>
    </row>
    <row r="55" spans="2:85">
      <c r="AT55" s="51">
        <v>35.720700000000001</v>
      </c>
      <c r="AV55" s="51">
        <v>12.900000000000091</v>
      </c>
    </row>
    <row r="56" spans="2:85">
      <c r="AT56" s="51">
        <v>35.872669999999999</v>
      </c>
      <c r="AV56" s="51">
        <v>12.850000000000136</v>
      </c>
    </row>
    <row r="57" spans="2:85">
      <c r="AT57" s="51">
        <v>31.128690000000002</v>
      </c>
      <c r="AV57" s="51">
        <v>12.800000000000182</v>
      </c>
    </row>
    <row r="58" spans="2:85">
      <c r="AT58" s="51">
        <v>33.398869999999995</v>
      </c>
      <c r="AV58" s="51">
        <v>12.75</v>
      </c>
    </row>
    <row r="59" spans="2:85">
      <c r="AT59" s="51">
        <v>35.597799999999999</v>
      </c>
      <c r="AV59" s="51">
        <v>12.700000000000045</v>
      </c>
    </row>
    <row r="60" spans="2:85">
      <c r="AT60" s="51">
        <v>34.16075</v>
      </c>
      <c r="AV60" s="51">
        <v>12.650000000000091</v>
      </c>
    </row>
    <row r="61" spans="2:85">
      <c r="AT61" s="51">
        <v>34.176950000000005</v>
      </c>
      <c r="AV61" s="51">
        <v>12.600000000000136</v>
      </c>
    </row>
    <row r="62" spans="2:85">
      <c r="AT62" s="51">
        <v>34.189549999999997</v>
      </c>
      <c r="AV62" s="51">
        <v>12.550000000000182</v>
      </c>
    </row>
    <row r="63" spans="2:85">
      <c r="AT63" s="51">
        <v>33.81306</v>
      </c>
      <c r="AV63" s="51">
        <v>12.5</v>
      </c>
    </row>
    <row r="64" spans="2:85">
      <c r="AT64" s="51">
        <v>34.230600000000003</v>
      </c>
      <c r="AV64" s="51">
        <v>12.450000000000045</v>
      </c>
    </row>
    <row r="65" spans="46:48">
      <c r="AT65" s="51">
        <v>36.468669999999996</v>
      </c>
      <c r="AV65" s="51">
        <v>12.400000000000091</v>
      </c>
    </row>
    <row r="66" spans="46:48">
      <c r="AT66" s="51">
        <v>33.374490000000002</v>
      </c>
      <c r="AV66" s="51">
        <v>12.350000000000136</v>
      </c>
    </row>
    <row r="67" spans="46:48">
      <c r="AT67" s="51">
        <v>33.184370000000001</v>
      </c>
      <c r="AV67" s="51">
        <v>12.300000000000182</v>
      </c>
    </row>
    <row r="68" spans="46:48">
      <c r="AT68" s="51">
        <v>31.41573</v>
      </c>
      <c r="AV68" s="51">
        <v>12.25</v>
      </c>
    </row>
    <row r="69" spans="46:48">
      <c r="AT69" s="51">
        <v>32.353270000000002</v>
      </c>
      <c r="AV69" s="51">
        <v>12.200000000000045</v>
      </c>
    </row>
    <row r="70" spans="46:48">
      <c r="AT70" s="51">
        <v>32.226520000000001</v>
      </c>
      <c r="AV70" s="51">
        <v>12.150000000000091</v>
      </c>
    </row>
    <row r="71" spans="46:48">
      <c r="AT71" s="51">
        <v>31.513530000000003</v>
      </c>
      <c r="AV71" s="51">
        <v>12.100000000000136</v>
      </c>
    </row>
    <row r="72" spans="46:48">
      <c r="AT72" s="51">
        <v>30.399719999999999</v>
      </c>
      <c r="AV72" s="51">
        <v>12.050000000000182</v>
      </c>
    </row>
    <row r="73" spans="46:48">
      <c r="AT73" s="51">
        <v>26.040360000000003</v>
      </c>
      <c r="AV73" s="51">
        <v>12</v>
      </c>
    </row>
    <row r="74" spans="46:48">
      <c r="AT74" s="51">
        <v>24.524360000000001</v>
      </c>
      <c r="AV74" s="51">
        <v>11.950000000000045</v>
      </c>
    </row>
    <row r="75" spans="46:48">
      <c r="AT75" s="51">
        <v>25.993099999999998</v>
      </c>
      <c r="AV75" s="51">
        <v>11.900000000000091</v>
      </c>
    </row>
    <row r="76" spans="46:48">
      <c r="AT76" s="51">
        <v>25.340649999999997</v>
      </c>
      <c r="AV76" s="51">
        <v>11.850000000000136</v>
      </c>
    </row>
    <row r="77" spans="46:48">
      <c r="AT77" s="51">
        <v>24.294070000000001</v>
      </c>
      <c r="AV77" s="51">
        <v>11.800000000000182</v>
      </c>
    </row>
    <row r="78" spans="46:48">
      <c r="AT78" s="51">
        <v>26.488139999999998</v>
      </c>
      <c r="AV78" s="51">
        <v>11.75</v>
      </c>
    </row>
    <row r="79" spans="46:48">
      <c r="AT79" s="51">
        <v>26.09609</v>
      </c>
      <c r="AV79" s="51">
        <v>11.700000000000045</v>
      </c>
    </row>
    <row r="80" spans="46:48">
      <c r="AT80" s="51">
        <v>20.62773</v>
      </c>
      <c r="AV80" s="51">
        <v>11.650000000000091</v>
      </c>
    </row>
    <row r="81" spans="46:48">
      <c r="AT81" s="51">
        <v>20.90448</v>
      </c>
      <c r="AV81" s="51">
        <v>11.600000000000136</v>
      </c>
    </row>
    <row r="82" spans="46:48">
      <c r="AT82" s="51">
        <v>22.236689999999999</v>
      </c>
      <c r="AV82" s="51">
        <v>11.550000000000182</v>
      </c>
    </row>
    <row r="83" spans="46:48">
      <c r="AT83" s="51">
        <v>25.748100000000001</v>
      </c>
      <c r="AV83" s="51">
        <v>11.5</v>
      </c>
    </row>
    <row r="84" spans="46:48">
      <c r="AT84" s="51">
        <v>29.275919999999999</v>
      </c>
      <c r="AV84" s="51">
        <v>11.450000000000045</v>
      </c>
    </row>
    <row r="85" spans="46:48">
      <c r="AT85" s="51">
        <v>29.094180000000001</v>
      </c>
      <c r="AV85" s="51">
        <v>11.400000000000091</v>
      </c>
    </row>
    <row r="86" spans="46:48">
      <c r="AT86" s="51">
        <v>25.593790000000002</v>
      </c>
      <c r="AV86" s="51">
        <v>11.350000000000136</v>
      </c>
    </row>
    <row r="87" spans="46:48">
      <c r="AT87" s="51">
        <v>31.079650000000001</v>
      </c>
      <c r="AV87" s="51">
        <v>11.300000000000182</v>
      </c>
    </row>
    <row r="88" spans="46:48">
      <c r="AT88" s="51">
        <v>34.319629999999997</v>
      </c>
      <c r="AV88" s="51">
        <v>11.25</v>
      </c>
    </row>
    <row r="89" spans="46:48">
      <c r="AT89" s="51">
        <v>33.464379999999998</v>
      </c>
      <c r="AV89" s="51">
        <v>11.200000000000045</v>
      </c>
    </row>
    <row r="90" spans="46:48">
      <c r="AT90" s="51">
        <v>31.87285</v>
      </c>
      <c r="AV90" s="51">
        <v>11.150000000000091</v>
      </c>
    </row>
    <row r="91" spans="46:48">
      <c r="AT91" s="51">
        <v>37.100909999999999</v>
      </c>
      <c r="AV91" s="51">
        <v>11.100000000000136</v>
      </c>
    </row>
    <row r="92" spans="46:48">
      <c r="AT92" s="51">
        <v>36.23742</v>
      </c>
      <c r="AV92" s="51">
        <v>11.050000000000182</v>
      </c>
    </row>
    <row r="93" spans="46:48">
      <c r="AT93" s="51">
        <v>34.920549999999999</v>
      </c>
      <c r="AV93" s="51">
        <v>11</v>
      </c>
    </row>
    <row r="94" spans="46:48">
      <c r="AT94" s="51">
        <v>30.021220000000003</v>
      </c>
      <c r="AV94" s="51">
        <v>10.950000000000045</v>
      </c>
    </row>
    <row r="95" spans="46:48">
      <c r="AT95" s="51">
        <v>34.124950000000005</v>
      </c>
      <c r="AV95" s="51">
        <v>10.900000000000091</v>
      </c>
    </row>
    <row r="96" spans="46:48">
      <c r="AT96" s="51">
        <v>29.761190000000003</v>
      </c>
      <c r="AV96" s="51">
        <v>10.850000000000136</v>
      </c>
    </row>
    <row r="97" spans="46:48">
      <c r="AT97" s="51">
        <v>30.290880000000001</v>
      </c>
      <c r="AV97" s="51">
        <v>10.800000000000182</v>
      </c>
    </row>
    <row r="98" spans="46:48">
      <c r="AT98" s="51">
        <v>32.335799999999999</v>
      </c>
      <c r="AV98" s="51">
        <v>10.75</v>
      </c>
    </row>
    <row r="99" spans="46:48">
      <c r="AT99" s="51">
        <v>26.518830000000001</v>
      </c>
      <c r="AV99" s="51">
        <v>10.700000000000045</v>
      </c>
    </row>
    <row r="100" spans="46:48">
      <c r="AT100" s="51">
        <v>31.480709999999998</v>
      </c>
      <c r="AV100" s="51">
        <v>10.650000000000091</v>
      </c>
    </row>
    <row r="101" spans="46:48">
      <c r="AT101" s="51">
        <v>30.222010000000001</v>
      </c>
      <c r="AV101" s="51">
        <v>10.600000000000136</v>
      </c>
    </row>
    <row r="102" spans="46:48">
      <c r="AT102" s="51">
        <v>29.096270000000001</v>
      </c>
      <c r="AV102" s="51">
        <v>10.550000000000182</v>
      </c>
    </row>
    <row r="103" spans="46:48">
      <c r="AT103" s="51">
        <v>30.7531</v>
      </c>
      <c r="AV103" s="51">
        <v>10.5</v>
      </c>
    </row>
    <row r="104" spans="46:48">
      <c r="AT104" s="51">
        <v>31.54627</v>
      </c>
      <c r="AV104" s="51">
        <v>10.450000000000045</v>
      </c>
    </row>
    <row r="105" spans="46:48">
      <c r="AT105" s="51">
        <v>37.588529999999999</v>
      </c>
      <c r="AV105" s="51">
        <v>10.400000000000091</v>
      </c>
    </row>
    <row r="106" spans="46:48">
      <c r="AT106" s="51">
        <v>36.612089999999995</v>
      </c>
      <c r="AV106" s="51">
        <v>10.350000000000136</v>
      </c>
    </row>
    <row r="107" spans="46:48">
      <c r="AT107" s="51">
        <v>37.809019999999997</v>
      </c>
      <c r="AV107" s="51">
        <v>10.300000000000182</v>
      </c>
    </row>
    <row r="108" spans="46:48">
      <c r="AT108" s="51">
        <v>38.545479999999998</v>
      </c>
      <c r="AV108" s="51">
        <v>10.25</v>
      </c>
    </row>
    <row r="109" spans="46:48">
      <c r="AT109" s="51">
        <v>37.429500000000004</v>
      </c>
      <c r="AV109" s="51">
        <v>10.200000000000045</v>
      </c>
    </row>
    <row r="110" spans="46:48">
      <c r="AT110" s="51">
        <v>41.0124</v>
      </c>
      <c r="AV110" s="51">
        <v>10.150000000000091</v>
      </c>
    </row>
    <row r="111" spans="46:48">
      <c r="AT111" s="51">
        <v>40.427300000000002</v>
      </c>
      <c r="AV111" s="51">
        <v>10.100000000000136</v>
      </c>
    </row>
    <row r="112" spans="46:48">
      <c r="AT112" s="51">
        <v>36.206630000000004</v>
      </c>
      <c r="AV112" s="51">
        <v>10.050000000000182</v>
      </c>
    </row>
    <row r="113" spans="46:48">
      <c r="AT113" s="51">
        <v>37.334809999999997</v>
      </c>
      <c r="AV113" s="51">
        <v>10</v>
      </c>
    </row>
    <row r="114" spans="46:48">
      <c r="AT114" s="51">
        <v>36.360900000000001</v>
      </c>
      <c r="AV114" s="51">
        <v>9.9500000000000455</v>
      </c>
    </row>
    <row r="115" spans="46:48">
      <c r="AT115" s="51">
        <v>38.750550000000004</v>
      </c>
      <c r="AV115" s="51">
        <v>9.9000000000000909</v>
      </c>
    </row>
    <row r="116" spans="46:48">
      <c r="AT116" s="51">
        <v>29.03933</v>
      </c>
      <c r="AV116" s="51">
        <v>9.8500000000001364</v>
      </c>
    </row>
    <row r="117" spans="46:48">
      <c r="AT117" s="51">
        <v>39.037819999999996</v>
      </c>
      <c r="AV117" s="51">
        <v>9.8000000000001819</v>
      </c>
    </row>
    <row r="118" spans="46:48">
      <c r="AT118" s="51">
        <v>37.402279999999998</v>
      </c>
      <c r="AV118" s="51">
        <v>9.75</v>
      </c>
    </row>
    <row r="119" spans="46:48">
      <c r="AT119" s="51">
        <v>40.721739999999997</v>
      </c>
      <c r="AV119" s="51">
        <v>9.7000000000000455</v>
      </c>
    </row>
    <row r="120" spans="46:48">
      <c r="AT120" s="51">
        <v>39.014429999999997</v>
      </c>
      <c r="AV120" s="51">
        <v>9.6500000000000909</v>
      </c>
    </row>
    <row r="121" spans="46:48">
      <c r="AT121" s="51">
        <v>36.579920000000001</v>
      </c>
      <c r="AV121" s="51">
        <v>9.6000000000001364</v>
      </c>
    </row>
    <row r="122" spans="46:48">
      <c r="AT122" s="51">
        <v>38.775230000000001</v>
      </c>
      <c r="AV122" s="51">
        <v>9.5500000000001819</v>
      </c>
    </row>
    <row r="123" spans="46:48">
      <c r="AT123" s="51">
        <v>35.674900000000001</v>
      </c>
      <c r="AV123" s="51">
        <v>9.5</v>
      </c>
    </row>
    <row r="124" spans="46:48">
      <c r="AT124" s="51">
        <v>31.84722</v>
      </c>
      <c r="AV124" s="51">
        <v>9.4500000000000455</v>
      </c>
    </row>
    <row r="125" spans="46:48">
      <c r="AT125" s="51">
        <v>31.390360000000001</v>
      </c>
      <c r="AV125" s="51">
        <v>9.4000000000000909</v>
      </c>
    </row>
    <row r="126" spans="46:48">
      <c r="AT126" s="51">
        <v>35.638549999999995</v>
      </c>
      <c r="AV126" s="51">
        <v>9.3500000000001364</v>
      </c>
    </row>
    <row r="127" spans="46:48">
      <c r="AT127" s="51">
        <v>34.26117</v>
      </c>
      <c r="AV127" s="51">
        <v>9.3000000000001819</v>
      </c>
    </row>
    <row r="128" spans="46:48">
      <c r="AT128" s="51">
        <v>34.674260000000004</v>
      </c>
      <c r="AV128" s="51">
        <v>9.25</v>
      </c>
    </row>
    <row r="129" spans="46:48">
      <c r="AT129" s="51">
        <v>31.314929999999997</v>
      </c>
      <c r="AV129" s="51">
        <v>9.2000000000000455</v>
      </c>
    </row>
    <row r="130" spans="46:48">
      <c r="AT130" s="51">
        <v>36.616599999999998</v>
      </c>
      <c r="AV130" s="51">
        <v>9.1500000000000909</v>
      </c>
    </row>
    <row r="131" spans="46:48">
      <c r="AT131" s="51">
        <v>33.195070000000001</v>
      </c>
      <c r="AV131" s="51">
        <v>9.1000000000001364</v>
      </c>
    </row>
    <row r="132" spans="46:48">
      <c r="AT132" s="51">
        <v>37.244599999999998</v>
      </c>
      <c r="AV132" s="51">
        <v>9.0500000000001819</v>
      </c>
    </row>
    <row r="133" spans="46:48">
      <c r="AT133" s="51">
        <v>32.169620000000002</v>
      </c>
      <c r="AV133" s="51">
        <v>9</v>
      </c>
    </row>
    <row r="134" spans="46:48">
      <c r="AT134" s="51">
        <v>34.175020000000004</v>
      </c>
      <c r="AV134" s="51">
        <v>8.9500000000000455</v>
      </c>
    </row>
    <row r="135" spans="46:48">
      <c r="AT135" s="51">
        <v>36.832120000000003</v>
      </c>
      <c r="AV135" s="51">
        <v>8.9000000000000909</v>
      </c>
    </row>
    <row r="136" spans="46:48">
      <c r="AT136" s="51">
        <v>42.669920000000005</v>
      </c>
      <c r="AV136" s="51">
        <v>8.8500000000001364</v>
      </c>
    </row>
    <row r="137" spans="46:48">
      <c r="AT137" s="51">
        <v>31.042379999999998</v>
      </c>
      <c r="AV137" s="51">
        <v>8.8000000000001819</v>
      </c>
    </row>
    <row r="138" spans="46:48">
      <c r="AT138" s="51">
        <v>31.723800000000001</v>
      </c>
      <c r="AV138" s="51">
        <v>8.75</v>
      </c>
    </row>
    <row r="139" spans="46:48">
      <c r="AT139" s="51">
        <v>27.848869999999998</v>
      </c>
      <c r="AV139" s="51">
        <v>8.7000000000000455</v>
      </c>
    </row>
    <row r="140" spans="46:48">
      <c r="AT140" s="51">
        <v>39.178139999999999</v>
      </c>
      <c r="AV140" s="51">
        <v>8.6500000000000909</v>
      </c>
    </row>
    <row r="141" spans="46:48">
      <c r="AT141" s="51">
        <v>35.62968</v>
      </c>
      <c r="AV141" s="51">
        <v>8.6000000000001364</v>
      </c>
    </row>
    <row r="142" spans="46:48">
      <c r="AT142" s="51">
        <v>39.349110000000003</v>
      </c>
      <c r="AV142" s="51">
        <v>8.5500000000001819</v>
      </c>
    </row>
    <row r="143" spans="46:48">
      <c r="AT143" s="51">
        <v>35.202120000000001</v>
      </c>
      <c r="AV143" s="51">
        <v>8.5</v>
      </c>
    </row>
    <row r="144" spans="46:48">
      <c r="AT144" s="51">
        <v>39.71302</v>
      </c>
      <c r="AV144" s="51">
        <v>8.4500000000000455</v>
      </c>
    </row>
    <row r="145" spans="46:48">
      <c r="AT145" s="51">
        <v>39.294869999999996</v>
      </c>
      <c r="AV145" s="51">
        <v>8.4000000000000909</v>
      </c>
    </row>
    <row r="146" spans="46:48">
      <c r="AT146" s="51">
        <v>32.225560000000002</v>
      </c>
      <c r="AV146" s="51">
        <v>8.3500000000001364</v>
      </c>
    </row>
    <row r="147" spans="46:48">
      <c r="AT147" s="51">
        <v>32.301319999999997</v>
      </c>
      <c r="AV147" s="51">
        <v>8.3000000000001819</v>
      </c>
    </row>
    <row r="148" spans="46:48">
      <c r="AT148" s="51">
        <v>39.980550000000001</v>
      </c>
      <c r="AV148" s="51">
        <v>8.25</v>
      </c>
    </row>
    <row r="149" spans="46:48">
      <c r="AT149" s="51">
        <v>46.074890000000003</v>
      </c>
      <c r="AV149" s="51">
        <v>8.2000000000000455</v>
      </c>
    </row>
    <row r="150" spans="46:48">
      <c r="AT150" s="51">
        <v>41.188420000000001</v>
      </c>
      <c r="AV150" s="51">
        <v>8.1500000000000909</v>
      </c>
    </row>
    <row r="151" spans="46:48">
      <c r="AT151" s="51">
        <v>44.437440000000002</v>
      </c>
      <c r="AV151" s="51">
        <v>8.1000000000001364</v>
      </c>
    </row>
    <row r="152" spans="46:48">
      <c r="AT152" s="51">
        <v>42.928060000000002</v>
      </c>
      <c r="AV152" s="51">
        <v>8.0500000000001819</v>
      </c>
    </row>
    <row r="153" spans="46:48">
      <c r="AT153" s="51">
        <v>38.904119999999999</v>
      </c>
      <c r="AV153" s="51">
        <v>8</v>
      </c>
    </row>
    <row r="154" spans="46:48">
      <c r="AT154" s="51">
        <v>33.689439999999998</v>
      </c>
      <c r="AV154" s="51">
        <v>7.9500000000000455</v>
      </c>
    </row>
    <row r="155" spans="46:48">
      <c r="AT155" s="51">
        <v>28.608270000000001</v>
      </c>
      <c r="AV155" s="51">
        <v>7.9000000000000909</v>
      </c>
    </row>
    <row r="156" spans="46:48">
      <c r="AT156" s="51">
        <v>37.21837</v>
      </c>
      <c r="AV156" s="51">
        <v>7.8500000000001364</v>
      </c>
    </row>
    <row r="157" spans="46:48">
      <c r="AT157" s="51">
        <v>35.643279999999997</v>
      </c>
      <c r="AV157" s="51">
        <v>7.8000000000001819</v>
      </c>
    </row>
    <row r="158" spans="46:48">
      <c r="AT158" s="51">
        <v>34.723589999999994</v>
      </c>
      <c r="AV158" s="51">
        <v>7.75</v>
      </c>
    </row>
    <row r="159" spans="46:48">
      <c r="AT159" s="51">
        <v>32.482959999999999</v>
      </c>
      <c r="AV159" s="51">
        <v>7.7000000000000455</v>
      </c>
    </row>
    <row r="160" spans="46:48">
      <c r="AT160" s="51">
        <v>36.793669999999999</v>
      </c>
      <c r="AV160" s="51">
        <v>7.6500000000000909</v>
      </c>
    </row>
    <row r="161" spans="46:48">
      <c r="AT161" s="51">
        <v>36.667479999999998</v>
      </c>
      <c r="AV161" s="51">
        <v>7.6000000000001364</v>
      </c>
    </row>
    <row r="162" spans="46:48">
      <c r="AT162" s="51">
        <v>37.009270000000001</v>
      </c>
      <c r="AV162" s="51">
        <v>7.5500000000001819</v>
      </c>
    </row>
    <row r="163" spans="46:48">
      <c r="AT163" s="51">
        <v>39.663069999999998</v>
      </c>
      <c r="AV163" s="51">
        <v>7.5</v>
      </c>
    </row>
    <row r="164" spans="46:48">
      <c r="AT164" s="51">
        <v>35.176349999999999</v>
      </c>
      <c r="AV164" s="51">
        <v>7.4500000000000455</v>
      </c>
    </row>
    <row r="165" spans="46:48">
      <c r="AT165" s="51">
        <v>30.763960000000001</v>
      </c>
      <c r="AV165" s="51">
        <v>7.4000000000000909</v>
      </c>
    </row>
    <row r="166" spans="46:48">
      <c r="AT166" s="51">
        <v>31.890560000000001</v>
      </c>
      <c r="AV166" s="51">
        <v>7.3500000000001364</v>
      </c>
    </row>
    <row r="167" spans="46:48">
      <c r="AT167" s="51">
        <v>30.9071</v>
      </c>
      <c r="AV167" s="51">
        <v>7.3000000000001819</v>
      </c>
    </row>
    <row r="168" spans="46:48">
      <c r="AT168" s="51">
        <v>17.483309999999999</v>
      </c>
      <c r="AV168" s="51">
        <v>7.25</v>
      </c>
    </row>
    <row r="169" spans="46:48">
      <c r="AT169" s="51">
        <v>18.349789999999999</v>
      </c>
      <c r="AV169" s="51">
        <v>7.2000000000000455</v>
      </c>
    </row>
    <row r="170" spans="46:48">
      <c r="AT170" s="51">
        <v>28.93974</v>
      </c>
      <c r="AV170" s="51">
        <v>7.1500000000000909</v>
      </c>
    </row>
    <row r="171" spans="46:48">
      <c r="AT171" s="51">
        <v>27.685010000000002</v>
      </c>
      <c r="AV171" s="51">
        <v>7.1000000000001364</v>
      </c>
    </row>
    <row r="172" spans="46:48">
      <c r="AT172" s="51">
        <v>29.743649999999999</v>
      </c>
      <c r="AV172" s="51">
        <v>7.0500000000001819</v>
      </c>
    </row>
    <row r="173" spans="46:48">
      <c r="AT173" s="51">
        <v>29.08559</v>
      </c>
      <c r="AV173" s="51">
        <v>7</v>
      </c>
    </row>
    <row r="174" spans="46:48">
      <c r="AT174" s="51">
        <v>28.182910000000003</v>
      </c>
      <c r="AV174" s="51">
        <v>6.9500000000000455</v>
      </c>
    </row>
    <row r="175" spans="46:48">
      <c r="AT175" s="51">
        <v>28.061019999999999</v>
      </c>
      <c r="AV175" s="51">
        <v>6.9000000000000909</v>
      </c>
    </row>
    <row r="176" spans="46:48">
      <c r="AT176" s="51">
        <v>28.729559999999999</v>
      </c>
      <c r="AV176" s="51">
        <v>6.8500000000001364</v>
      </c>
    </row>
    <row r="177" spans="46:48">
      <c r="AT177" s="51">
        <v>28.670680000000001</v>
      </c>
      <c r="AV177" s="51">
        <v>6.8000000000001819</v>
      </c>
    </row>
    <row r="178" spans="46:48">
      <c r="AT178" s="51">
        <v>26.096520000000002</v>
      </c>
      <c r="AV178" s="51">
        <v>6.75</v>
      </c>
    </row>
    <row r="179" spans="46:48">
      <c r="AT179" s="51">
        <v>25.768470000000001</v>
      </c>
      <c r="AV179" s="51">
        <v>6.7000000000000455</v>
      </c>
    </row>
    <row r="180" spans="46:48">
      <c r="AT180" s="51">
        <v>22.073420000000002</v>
      </c>
      <c r="AV180" s="51">
        <v>6.6500000000000909</v>
      </c>
    </row>
    <row r="181" spans="46:48">
      <c r="AT181" s="51">
        <v>17.585379999999997</v>
      </c>
      <c r="AV181" s="51">
        <v>6.6000000000001364</v>
      </c>
    </row>
    <row r="182" spans="46:48">
      <c r="AT182" s="51">
        <v>18.51539</v>
      </c>
      <c r="AV182" s="51">
        <v>6.5500000000001819</v>
      </c>
    </row>
    <row r="183" spans="46:48">
      <c r="AT183" s="51">
        <v>17.335819999999998</v>
      </c>
      <c r="AV183" s="51">
        <v>6.5</v>
      </c>
    </row>
    <row r="184" spans="46:48">
      <c r="AT184" s="51">
        <v>15.68831</v>
      </c>
      <c r="AV184" s="51">
        <v>6.4500000000000455</v>
      </c>
    </row>
    <row r="185" spans="46:48">
      <c r="AT185" s="51">
        <v>17.514060000000001</v>
      </c>
      <c r="AV185" s="51">
        <v>6.4000000000000909</v>
      </c>
    </row>
    <row r="186" spans="46:48">
      <c r="AT186" s="51">
        <v>19.231470000000002</v>
      </c>
      <c r="AV186" s="51">
        <v>6.3500000000001364</v>
      </c>
    </row>
    <row r="187" spans="46:48">
      <c r="AT187" s="51">
        <v>18.169909999999998</v>
      </c>
      <c r="AV187" s="51">
        <v>6.3000000000001819</v>
      </c>
    </row>
    <row r="188" spans="46:48">
      <c r="AT188" s="51">
        <v>15.720890000000001</v>
      </c>
      <c r="AV188" s="51">
        <v>6.25</v>
      </c>
    </row>
    <row r="189" spans="46:48">
      <c r="AT189" s="51">
        <v>15.055900000000001</v>
      </c>
      <c r="AV189" s="51">
        <v>6.2000000000000455</v>
      </c>
    </row>
    <row r="190" spans="46:48">
      <c r="AT190" s="51">
        <v>17.760339999999999</v>
      </c>
      <c r="AV190" s="51">
        <v>6.1500000000000909</v>
      </c>
    </row>
    <row r="191" spans="46:48">
      <c r="AT191" s="51">
        <v>18.18844</v>
      </c>
      <c r="AV191" s="51">
        <v>6.1000000000001364</v>
      </c>
    </row>
    <row r="192" spans="46:48">
      <c r="AT192" s="51">
        <v>23.611979999999999</v>
      </c>
      <c r="AV192" s="51">
        <v>6.0500000000001819</v>
      </c>
    </row>
    <row r="193" spans="46:48">
      <c r="AT193" s="51">
        <v>22.085999999999999</v>
      </c>
      <c r="AV193" s="51">
        <v>6</v>
      </c>
    </row>
    <row r="194" spans="46:48">
      <c r="AT194" s="51">
        <v>22.2117</v>
      </c>
      <c r="AV194" s="51">
        <v>5.9500000000000455</v>
      </c>
    </row>
    <row r="195" spans="46:48">
      <c r="AT195" s="51">
        <v>21.909300000000002</v>
      </c>
      <c r="AV195" s="51">
        <v>5.9000000000000909</v>
      </c>
    </row>
    <row r="196" spans="46:48">
      <c r="AT196" s="51">
        <v>19.199149999999999</v>
      </c>
      <c r="AV196" s="51">
        <v>5.8500000000001364</v>
      </c>
    </row>
    <row r="197" spans="46:48">
      <c r="AT197" s="51">
        <v>18.53426</v>
      </c>
      <c r="AV197" s="51">
        <v>5.8000000000001819</v>
      </c>
    </row>
    <row r="198" spans="46:48">
      <c r="AT198" s="51">
        <v>19.061450000000001</v>
      </c>
      <c r="AV198" s="51">
        <v>5.75</v>
      </c>
    </row>
    <row r="199" spans="46:48">
      <c r="AT199" s="51">
        <v>17.935100000000002</v>
      </c>
      <c r="AV199" s="51">
        <v>5.7000000000000455</v>
      </c>
    </row>
    <row r="200" spans="46:48">
      <c r="AT200" s="51">
        <v>22.560660000000002</v>
      </c>
      <c r="AV200" s="51">
        <v>5.6500000000000909</v>
      </c>
    </row>
    <row r="201" spans="46:48">
      <c r="AT201" s="51">
        <v>24.413249999999998</v>
      </c>
      <c r="AV201" s="51">
        <v>5.6000000000001364</v>
      </c>
    </row>
    <row r="202" spans="46:48">
      <c r="AT202" s="51">
        <v>21.499400000000001</v>
      </c>
      <c r="AV202" s="51">
        <v>5.5500000000001819</v>
      </c>
    </row>
    <row r="203" spans="46:48">
      <c r="AT203" s="51">
        <v>20.043810000000001</v>
      </c>
      <c r="AV203" s="51">
        <v>5.5</v>
      </c>
    </row>
    <row r="204" spans="46:48">
      <c r="AT204" s="51">
        <v>20.2</v>
      </c>
      <c r="AV204" s="51">
        <v>5.4500000000000455</v>
      </c>
    </row>
    <row r="205" spans="46:48">
      <c r="AT205" s="51">
        <v>20.295379999999998</v>
      </c>
      <c r="AV205" s="51">
        <v>5.4000000000000909</v>
      </c>
    </row>
    <row r="206" spans="46:48">
      <c r="AT206" s="51">
        <v>19.89592</v>
      </c>
      <c r="AV206" s="51">
        <v>5.3500000000001364</v>
      </c>
    </row>
    <row r="207" spans="46:48">
      <c r="AT207" s="51">
        <v>20.292190000000002</v>
      </c>
      <c r="AV207" s="51">
        <v>5.3000000000001819</v>
      </c>
    </row>
    <row r="208" spans="46:48">
      <c r="AT208" s="51">
        <v>22.334239999999998</v>
      </c>
      <c r="AV208" s="51">
        <v>5.25</v>
      </c>
    </row>
    <row r="209" spans="46:48">
      <c r="AT209" s="51">
        <v>21.07657</v>
      </c>
      <c r="AV209" s="51">
        <v>5.2000000000000455</v>
      </c>
    </row>
    <row r="210" spans="46:48">
      <c r="AT210" s="51">
        <v>21.009539999999998</v>
      </c>
      <c r="AV210" s="51">
        <v>5.1500000000000909</v>
      </c>
    </row>
    <row r="211" spans="46:48">
      <c r="AT211" s="51">
        <v>21.8674</v>
      </c>
      <c r="AV211" s="51">
        <v>5.1000000000001364</v>
      </c>
    </row>
    <row r="212" spans="46:48">
      <c r="AT212" s="51">
        <v>20.34357</v>
      </c>
      <c r="AV212" s="51">
        <v>5.0500000000001819</v>
      </c>
    </row>
    <row r="213" spans="46:48">
      <c r="AT213" s="51">
        <v>21.398869999999999</v>
      </c>
      <c r="AV213" s="51">
        <v>5</v>
      </c>
    </row>
    <row r="214" spans="46:48">
      <c r="AT214" s="51">
        <v>21.65943</v>
      </c>
      <c r="AV214" s="51">
        <v>4.9500000000000455</v>
      </c>
    </row>
    <row r="215" spans="46:48">
      <c r="AT215" s="51">
        <v>22.444710000000001</v>
      </c>
      <c r="AV215" s="51">
        <v>4.9000000000000909</v>
      </c>
    </row>
    <row r="216" spans="46:48">
      <c r="AT216" s="51">
        <v>22.243769999999998</v>
      </c>
      <c r="AV216" s="51">
        <v>4.8500000000001364</v>
      </c>
    </row>
    <row r="217" spans="46:48">
      <c r="AT217" s="51">
        <v>21.711479999999998</v>
      </c>
      <c r="AV217" s="51">
        <v>4.8000000000001819</v>
      </c>
    </row>
    <row r="218" spans="46:48">
      <c r="AT218" s="51">
        <v>20.981210000000001</v>
      </c>
      <c r="AV218" s="51">
        <v>4.75</v>
      </c>
    </row>
    <row r="219" spans="46:48">
      <c r="AT219" s="51">
        <v>19.990220000000001</v>
      </c>
      <c r="AV219" s="51">
        <v>4.7000000000000455</v>
      </c>
    </row>
    <row r="220" spans="46:48">
      <c r="AT220" s="51">
        <v>22.038119999999999</v>
      </c>
      <c r="AV220" s="51">
        <v>4.6500000000000909</v>
      </c>
    </row>
    <row r="221" spans="46:48">
      <c r="AT221" s="51">
        <v>22.168129999999998</v>
      </c>
      <c r="AV221" s="51">
        <v>4.6000000000001364</v>
      </c>
    </row>
    <row r="222" spans="46:48">
      <c r="AT222" s="51">
        <v>20.049689999999998</v>
      </c>
      <c r="AV222" s="51">
        <v>4.5500000000001819</v>
      </c>
    </row>
    <row r="223" spans="46:48">
      <c r="AT223" s="51">
        <v>21.298939999999998</v>
      </c>
      <c r="AV223" s="51">
        <v>4.5</v>
      </c>
    </row>
    <row r="224" spans="46:48">
      <c r="AT224" s="51">
        <v>21.36401</v>
      </c>
      <c r="AV224" s="51">
        <v>4.4500000000000455</v>
      </c>
    </row>
    <row r="225" spans="46:48">
      <c r="AT225" s="51">
        <v>22.28632</v>
      </c>
      <c r="AV225" s="51">
        <v>4.4000000000000909</v>
      </c>
    </row>
    <row r="226" spans="46:48">
      <c r="AT226" s="51">
        <v>22.357189999999999</v>
      </c>
      <c r="AV226" s="51">
        <v>4.3500000000001364</v>
      </c>
    </row>
    <row r="227" spans="46:48">
      <c r="AT227" s="51">
        <v>21.89838</v>
      </c>
      <c r="AV227" s="51">
        <v>4.3000000000001819</v>
      </c>
    </row>
    <row r="228" spans="46:48">
      <c r="AT228" s="51">
        <v>21.370950000000001</v>
      </c>
      <c r="AV228" s="51">
        <v>4.25</v>
      </c>
    </row>
    <row r="229" spans="46:48">
      <c r="AT229" s="51">
        <v>21.243390000000002</v>
      </c>
      <c r="AV229" s="51">
        <v>4.2000000000000455</v>
      </c>
    </row>
    <row r="230" spans="46:48">
      <c r="AT230" s="51">
        <v>21.838259999999998</v>
      </c>
      <c r="AV230" s="51">
        <v>4.1500000000000909</v>
      </c>
    </row>
    <row r="231" spans="46:48">
      <c r="AT231" s="51">
        <v>18.667809999999999</v>
      </c>
      <c r="AV231" s="51">
        <v>4.1000000000001364</v>
      </c>
    </row>
    <row r="232" spans="46:48">
      <c r="AT232" s="51">
        <v>9.8104199999999988</v>
      </c>
      <c r="AV232" s="51">
        <v>4.0500000000001819</v>
      </c>
    </row>
    <row r="233" spans="46:48">
      <c r="AT233" s="51">
        <v>9.8138100000000001</v>
      </c>
      <c r="AV233" s="51">
        <v>4</v>
      </c>
    </row>
    <row r="234" spans="46:48">
      <c r="AT234" s="51">
        <v>17.423560000000002</v>
      </c>
      <c r="AV234" s="51">
        <v>3.9500000000000455</v>
      </c>
    </row>
    <row r="235" spans="46:48">
      <c r="AT235" s="51">
        <v>9.8220100000000006</v>
      </c>
      <c r="AV235" s="51">
        <v>3.9000000000000909</v>
      </c>
    </row>
    <row r="236" spans="46:48">
      <c r="AT236" s="51">
        <v>4.7304000000000004</v>
      </c>
      <c r="AV236" s="51">
        <v>3.8500000000001364</v>
      </c>
    </row>
    <row r="237" spans="46:48">
      <c r="AT237" s="51">
        <v>4.9371900000000002</v>
      </c>
      <c r="AV237" s="51">
        <v>3.8000000000001819</v>
      </c>
    </row>
    <row r="238" spans="46:48">
      <c r="AT238" s="51">
        <v>6.4579999999999993</v>
      </c>
      <c r="AV238" s="51">
        <v>3.75</v>
      </c>
    </row>
    <row r="239" spans="46:48">
      <c r="AT239" s="51">
        <v>11.159839999999999</v>
      </c>
      <c r="AV239" s="51">
        <v>3.7000000000000455</v>
      </c>
    </row>
    <row r="240" spans="46:48">
      <c r="AT240" s="51">
        <v>20.61675</v>
      </c>
      <c r="AV240" s="51">
        <v>3.6500000000000909</v>
      </c>
    </row>
    <row r="241" spans="46:48">
      <c r="AT241" s="51">
        <v>15.068669999999999</v>
      </c>
      <c r="AV241" s="51">
        <v>3.6000000000001364</v>
      </c>
    </row>
    <row r="242" spans="46:48">
      <c r="AT242" s="51">
        <v>9.2519399999999994</v>
      </c>
      <c r="AV242" s="51">
        <v>3.5500000000001819</v>
      </c>
    </row>
    <row r="243" spans="46:48">
      <c r="AT243" s="51">
        <v>8.3941200000000009</v>
      </c>
      <c r="AV243" s="51">
        <v>3.5</v>
      </c>
    </row>
    <row r="244" spans="46:48">
      <c r="AT244" s="51">
        <v>7.6662999999999997</v>
      </c>
      <c r="AV244" s="51">
        <v>3.4500000000000455</v>
      </c>
    </row>
    <row r="245" spans="46:48">
      <c r="AT245" s="51">
        <v>12.231859999999999</v>
      </c>
      <c r="AV245" s="51">
        <v>3.4000000000000909</v>
      </c>
    </row>
    <row r="246" spans="46:48">
      <c r="AT246" s="51">
        <v>6.3497400000000006</v>
      </c>
      <c r="AV246" s="51">
        <v>3.3500000000001364</v>
      </c>
    </row>
    <row r="247" spans="46:48">
      <c r="AT247" s="51">
        <v>11.507059999999999</v>
      </c>
      <c r="AV247" s="51">
        <v>3.3000000000001819</v>
      </c>
    </row>
    <row r="248" spans="46:48">
      <c r="AT248" s="51">
        <v>18.71481</v>
      </c>
      <c r="AV248" s="51">
        <v>3.25</v>
      </c>
    </row>
    <row r="249" spans="46:48">
      <c r="AT249" s="51">
        <v>20.697379999999999</v>
      </c>
      <c r="AV249" s="51">
        <v>3.2000000000000455</v>
      </c>
    </row>
    <row r="250" spans="46:48">
      <c r="AT250" s="51">
        <v>12.963100000000001</v>
      </c>
      <c r="AV250" s="51">
        <v>3.1500000000000909</v>
      </c>
    </row>
    <row r="251" spans="46:48">
      <c r="AT251" s="51">
        <v>22.481870000000001</v>
      </c>
      <c r="AV251" s="51">
        <v>3.1000000000001364</v>
      </c>
    </row>
    <row r="252" spans="46:48">
      <c r="AT252" s="51">
        <v>11.37458</v>
      </c>
      <c r="AV252" s="51">
        <v>3.0500000000001819</v>
      </c>
    </row>
    <row r="253" spans="46:48">
      <c r="AT253" s="51">
        <v>22.943740000000002</v>
      </c>
      <c r="AV253" s="51">
        <v>3</v>
      </c>
    </row>
    <row r="254" spans="46:48">
      <c r="AT254" s="51">
        <v>16.33099</v>
      </c>
      <c r="AV254" s="51">
        <v>2.9500000000000455</v>
      </c>
    </row>
    <row r="255" spans="46:48">
      <c r="AT255" s="51">
        <v>25.98583</v>
      </c>
      <c r="AV255" s="51">
        <v>2.9000000000000909</v>
      </c>
    </row>
    <row r="256" spans="46:48">
      <c r="AT256" s="51">
        <v>10.712569999999999</v>
      </c>
      <c r="AV256" s="51">
        <v>2.8500000000001364</v>
      </c>
    </row>
    <row r="257" spans="46:48">
      <c r="AT257" s="51">
        <v>22.55358</v>
      </c>
      <c r="AV257" s="51">
        <v>2.8000000000001819</v>
      </c>
    </row>
    <row r="258" spans="46:48">
      <c r="AT258" s="51">
        <v>13.227690000000001</v>
      </c>
      <c r="AV258" s="51">
        <v>2.75</v>
      </c>
    </row>
    <row r="259" spans="46:48">
      <c r="AT259" s="51">
        <v>21.888300000000001</v>
      </c>
      <c r="AV259" s="51">
        <v>2.7000000000000455</v>
      </c>
    </row>
    <row r="260" spans="46:48">
      <c r="AT260" s="51">
        <v>24.734660000000002</v>
      </c>
      <c r="AV260" s="51">
        <v>2.6500000000000909</v>
      </c>
    </row>
    <row r="261" spans="46:48">
      <c r="AT261" s="51">
        <v>24.598859999999998</v>
      </c>
      <c r="AV261" s="51">
        <v>2.6000000000001364</v>
      </c>
    </row>
    <row r="262" spans="46:48">
      <c r="AT262" s="51">
        <v>25.791300000000003</v>
      </c>
      <c r="AV262" s="51">
        <v>2.5500000000001819</v>
      </c>
    </row>
    <row r="263" spans="46:48">
      <c r="AT263" s="51">
        <v>25.856570000000001</v>
      </c>
      <c r="AV263" s="51">
        <v>2.5</v>
      </c>
    </row>
    <row r="264" spans="46:48">
      <c r="AT264" s="51">
        <v>24.401</v>
      </c>
      <c r="AV264" s="51">
        <v>2.4500000000000455</v>
      </c>
    </row>
    <row r="265" spans="46:48">
      <c r="AT265" s="51">
        <v>18.33784</v>
      </c>
      <c r="AV265" s="51">
        <v>2.4000000000000909</v>
      </c>
    </row>
    <row r="266" spans="46:48">
      <c r="AT266" s="51">
        <v>6.7213399999999996</v>
      </c>
      <c r="AV266" s="51">
        <v>2.3500000000001364</v>
      </c>
    </row>
    <row r="267" spans="46:48">
      <c r="AT267" s="51">
        <v>7.4002299999999996</v>
      </c>
      <c r="AV267" s="51">
        <v>2.3000000000001819</v>
      </c>
    </row>
    <row r="268" spans="46:48">
      <c r="AT268" s="51">
        <v>2.7194599999999998</v>
      </c>
      <c r="AV268" s="51">
        <v>2.25</v>
      </c>
    </row>
    <row r="269" spans="46:48">
      <c r="AT269" s="51">
        <v>13.319239999999999</v>
      </c>
      <c r="AV269" s="51">
        <v>2.2000000000000455</v>
      </c>
    </row>
    <row r="270" spans="46:48">
      <c r="AT270" s="51">
        <v>5.0001099999999994</v>
      </c>
      <c r="AV270" s="51">
        <v>2.1500000000000909</v>
      </c>
    </row>
    <row r="271" spans="46:48">
      <c r="AT271" s="51">
        <v>7.0664400000000001</v>
      </c>
      <c r="AV271" s="51">
        <v>2.1000000000001364</v>
      </c>
    </row>
    <row r="272" spans="46:48">
      <c r="AT272" s="51">
        <v>8.2813999999999997</v>
      </c>
      <c r="AV272" s="51">
        <v>2.0500000000001819</v>
      </c>
    </row>
    <row r="273" spans="46:48">
      <c r="AT273" s="51">
        <v>8.4916499999999999</v>
      </c>
      <c r="AV273" s="51">
        <v>2</v>
      </c>
    </row>
    <row r="274" spans="46:48">
      <c r="AT274" s="51">
        <v>4.3426800000000005</v>
      </c>
      <c r="AV274" s="51">
        <v>1.9500000000000455</v>
      </c>
    </row>
    <row r="275" spans="46:48">
      <c r="AT275" s="51">
        <v>7.6246700000000001</v>
      </c>
      <c r="AV275" s="51">
        <v>1.9000000000000909</v>
      </c>
    </row>
    <row r="276" spans="46:48">
      <c r="AT276" s="51">
        <v>6.3875900000000003</v>
      </c>
      <c r="AV276" s="51">
        <v>1.8500000000001364</v>
      </c>
    </row>
    <row r="277" spans="46:48">
      <c r="AT277" s="51">
        <v>8.9905299999999997</v>
      </c>
      <c r="AV277" s="51">
        <v>1.8000000000001819</v>
      </c>
    </row>
    <row r="278" spans="46:48">
      <c r="AT278" s="51">
        <v>13.8367</v>
      </c>
      <c r="AV278" s="51">
        <v>1.75</v>
      </c>
    </row>
    <row r="279" spans="46:48">
      <c r="AT279" s="51">
        <v>17.223189999999999</v>
      </c>
      <c r="AV279" s="51">
        <v>1.7000000000000455</v>
      </c>
    </row>
    <row r="280" spans="46:48">
      <c r="AT280" s="51">
        <v>11.884130000000001</v>
      </c>
      <c r="AV280" s="51">
        <v>1.6500000000000909</v>
      </c>
    </row>
    <row r="281" spans="46:48">
      <c r="AT281" s="51">
        <v>10.995609999999999</v>
      </c>
      <c r="AV281" s="51">
        <v>1.6000000000001364</v>
      </c>
    </row>
    <row r="282" spans="46:48">
      <c r="AT282" s="51">
        <v>6.7849199999999996</v>
      </c>
      <c r="AV282" s="51">
        <v>1.5500000000001819</v>
      </c>
    </row>
    <row r="283" spans="46:48">
      <c r="AT283" s="51">
        <v>11.033329999999999</v>
      </c>
      <c r="AV283" s="51">
        <v>1.5</v>
      </c>
    </row>
    <row r="284" spans="46:48">
      <c r="AT284" s="51">
        <v>9.0714199999999998</v>
      </c>
      <c r="AV284" s="51">
        <v>1.4500000000000455</v>
      </c>
    </row>
    <row r="285" spans="46:48">
      <c r="AT285" s="51">
        <v>2.4909999999999998E-2</v>
      </c>
      <c r="AV285" s="51">
        <v>1.4000000000000909</v>
      </c>
    </row>
    <row r="286" spans="46:48">
      <c r="AT286" s="51">
        <v>9.39466</v>
      </c>
      <c r="AV286" s="51">
        <v>1.3500000000001364</v>
      </c>
    </row>
    <row r="287" spans="46:48">
      <c r="AT287" s="51">
        <v>8.8000600000000002</v>
      </c>
      <c r="AV287" s="51">
        <v>1.3000000000001819</v>
      </c>
    </row>
    <row r="288" spans="46:48">
      <c r="AT288" s="51">
        <v>7.2139500000000005</v>
      </c>
      <c r="AV288" s="51">
        <v>1.25</v>
      </c>
    </row>
    <row r="289" spans="46:48">
      <c r="AT289" s="51">
        <v>8.3468499999999999</v>
      </c>
      <c r="AV289" s="51">
        <v>1.2000000000000455</v>
      </c>
    </row>
    <row r="290" spans="46:48">
      <c r="AT290" s="51">
        <v>12.05049</v>
      </c>
      <c r="AV290" s="51">
        <v>1.1500000000000909</v>
      </c>
    </row>
    <row r="291" spans="46:48">
      <c r="AT291" s="51">
        <v>13.311069999999999</v>
      </c>
      <c r="AV291" s="51">
        <v>1.1000000000001364</v>
      </c>
    </row>
    <row r="292" spans="46:48">
      <c r="AT292" s="51">
        <v>16.225860000000001</v>
      </c>
      <c r="AV292" s="51">
        <v>1.0500000000001819</v>
      </c>
    </row>
    <row r="293" spans="46:48">
      <c r="AT293" s="51">
        <v>11.79899</v>
      </c>
      <c r="AV293" s="51">
        <v>1</v>
      </c>
    </row>
    <row r="294" spans="46:48">
      <c r="AT294" s="51">
        <v>16.165929999999999</v>
      </c>
      <c r="AV294" s="51">
        <v>0.95000000000004547</v>
      </c>
    </row>
    <row r="295" spans="46:48">
      <c r="AT295" s="51">
        <v>23.973990000000001</v>
      </c>
      <c r="AV295" s="51">
        <v>0.90000000000009095</v>
      </c>
    </row>
    <row r="296" spans="46:48">
      <c r="AT296" s="51">
        <v>12.800299999999998</v>
      </c>
      <c r="AV296" s="51">
        <v>0.85000000000013642</v>
      </c>
    </row>
    <row r="297" spans="46:48">
      <c r="AT297" s="51">
        <v>15.981369999999998</v>
      </c>
      <c r="AV297" s="51">
        <v>0.8000000000001819</v>
      </c>
    </row>
    <row r="298" spans="46:48">
      <c r="AT298" s="51">
        <v>30.402080000000002</v>
      </c>
      <c r="AV298" s="51">
        <v>0.75</v>
      </c>
    </row>
    <row r="299" spans="46:48">
      <c r="AT299" s="51">
        <v>28.614999999999998</v>
      </c>
      <c r="AV299" s="51">
        <v>0.70000000000004547</v>
      </c>
    </row>
    <row r="300" spans="46:48">
      <c r="AT300" s="51">
        <v>11.95416</v>
      </c>
      <c r="AV300" s="51">
        <v>0.65000000000009095</v>
      </c>
    </row>
    <row r="301" spans="46:48">
      <c r="AT301" s="51">
        <v>31.662430000000001</v>
      </c>
      <c r="AV301" s="51">
        <v>0.60000000000013642</v>
      </c>
    </row>
    <row r="302" spans="46:48">
      <c r="AT302" s="51">
        <v>15.52833</v>
      </c>
      <c r="AV302" s="51">
        <v>0.5500000000001819</v>
      </c>
    </row>
    <row r="303" spans="46:48">
      <c r="AT303" s="51">
        <v>31.207229999999999</v>
      </c>
      <c r="AV303" s="51">
        <v>0.5</v>
      </c>
    </row>
    <row r="304" spans="46:48">
      <c r="AT304" s="51">
        <v>21.028839999999999</v>
      </c>
      <c r="AV304" s="51">
        <v>0.45000000000004547</v>
      </c>
    </row>
    <row r="305" spans="46:48">
      <c r="AT305" s="51">
        <v>10.59266</v>
      </c>
      <c r="AV305" s="51">
        <v>0.40000000000009095</v>
      </c>
    </row>
    <row r="306" spans="46:48">
      <c r="AT306" s="51">
        <v>28.786140000000003</v>
      </c>
      <c r="AV306" s="51">
        <v>0.35000000000013642</v>
      </c>
    </row>
    <row r="307" spans="46:48">
      <c r="AT307" s="51">
        <v>7.2968199999999994</v>
      </c>
      <c r="AV307" s="51">
        <v>0.3000000000001819</v>
      </c>
    </row>
    <row r="308" spans="46:48">
      <c r="AT308" s="51">
        <v>23.117190000000001</v>
      </c>
      <c r="AV308" s="51">
        <v>0.25</v>
      </c>
    </row>
    <row r="309" spans="46:48">
      <c r="AT309" s="51">
        <v>5.9326499999999998</v>
      </c>
      <c r="AV309" s="51">
        <v>0.20000000000004547</v>
      </c>
    </row>
    <row r="310" spans="46:48">
      <c r="AT310" s="51">
        <v>25.852699999999999</v>
      </c>
      <c r="AV310" s="51">
        <v>0.15000000000009095</v>
      </c>
    </row>
    <row r="311" spans="46:48">
      <c r="AT311" s="51">
        <v>24.935400000000001</v>
      </c>
      <c r="AV311" s="51">
        <v>0.10000000000013642</v>
      </c>
    </row>
    <row r="312" spans="46:48">
      <c r="AT312" s="51">
        <v>22.760729999999999</v>
      </c>
      <c r="AV312" s="51">
        <v>5.0000000000181899E-2</v>
      </c>
    </row>
    <row r="313" spans="46:48">
      <c r="AT313" s="51">
        <v>6.7644299999999999</v>
      </c>
      <c r="AV313" s="51">
        <v>0</v>
      </c>
    </row>
    <row r="314" spans="46:48">
      <c r="AT314" s="51">
        <v>21.453659999999999</v>
      </c>
      <c r="AV314" s="51">
        <v>-4.9999999999954525E-2</v>
      </c>
    </row>
    <row r="315" spans="46:48">
      <c r="AT315" s="51">
        <v>5.4593499999999997</v>
      </c>
      <c r="AV315" s="51">
        <v>-9.9999999999909051E-2</v>
      </c>
    </row>
    <row r="316" spans="46:48">
      <c r="AT316" s="51">
        <v>4.2098400000000007</v>
      </c>
      <c r="AV316" s="51">
        <v>-0.14999999999986358</v>
      </c>
    </row>
    <row r="317" spans="46:48">
      <c r="AT317" s="51">
        <v>11.56643</v>
      </c>
      <c r="AV317" s="51">
        <v>-0.1999999999998181</v>
      </c>
    </row>
    <row r="318" spans="46:48">
      <c r="AT318" s="51">
        <v>20.307469999999999</v>
      </c>
      <c r="AV318" s="51">
        <v>-0.25</v>
      </c>
    </row>
    <row r="319" spans="46:48">
      <c r="AT319" s="51">
        <v>3.12093</v>
      </c>
      <c r="AV319" s="51">
        <v>-0.29999999999995453</v>
      </c>
    </row>
    <row r="320" spans="46:48">
      <c r="AT320" s="51">
        <v>5.1817500000000001</v>
      </c>
      <c r="AV320" s="51">
        <v>-0.34999999999990905</v>
      </c>
    </row>
    <row r="321" spans="46:48">
      <c r="AT321" s="51">
        <v>7.5687500000000005</v>
      </c>
      <c r="AV321" s="51">
        <v>-0.39999999999986358</v>
      </c>
    </row>
    <row r="322" spans="46:48">
      <c r="AT322" s="51">
        <v>4.5390299999999995</v>
      </c>
      <c r="AV322" s="51">
        <v>-0.4499999999998181</v>
      </c>
    </row>
    <row r="323" spans="46:48">
      <c r="AT323" s="51">
        <v>5.2069299999999998</v>
      </c>
      <c r="AV323" s="51">
        <v>-0.5</v>
      </c>
    </row>
    <row r="324" spans="46:48">
      <c r="AT324" s="51">
        <v>4.4264799999999997</v>
      </c>
      <c r="AV324" s="51">
        <v>-0.54999999999995453</v>
      </c>
    </row>
    <row r="325" spans="46:48">
      <c r="AT325" s="51">
        <v>7.8226999999999993</v>
      </c>
      <c r="AV325" s="51">
        <v>-0.59999999999990905</v>
      </c>
    </row>
    <row r="326" spans="46:48">
      <c r="AT326" s="51">
        <v>5.3191800000000002</v>
      </c>
      <c r="AV326" s="51">
        <v>-0.64999999999986358</v>
      </c>
    </row>
    <row r="327" spans="46:48">
      <c r="AT327" s="51">
        <v>1.6952500000000001</v>
      </c>
      <c r="AV327" s="51">
        <v>-0.6999999999998181</v>
      </c>
    </row>
    <row r="328" spans="46:48">
      <c r="AT328" s="51">
        <v>2.90097</v>
      </c>
      <c r="AV328" s="51">
        <v>-0.75</v>
      </c>
    </row>
    <row r="329" spans="46:48">
      <c r="AT329" s="51">
        <v>1.1253199999999999</v>
      </c>
      <c r="AV329" s="51">
        <v>-0.79999999999995453</v>
      </c>
    </row>
    <row r="330" spans="46:48">
      <c r="AT330" s="51">
        <v>1.7309600000000001</v>
      </c>
      <c r="AV330" s="51">
        <v>-0.84999999999990905</v>
      </c>
    </row>
    <row r="331" spans="46:48">
      <c r="AT331" s="51">
        <v>1.21621</v>
      </c>
      <c r="AV331" s="51">
        <v>-0.89999999999986358</v>
      </c>
    </row>
    <row r="332" spans="46:48">
      <c r="AT332" s="51">
        <v>1.5035499999999999</v>
      </c>
      <c r="AV332" s="51">
        <v>-0.9499999999998181</v>
      </c>
    </row>
    <row r="333" spans="46:48">
      <c r="AT333" s="51">
        <v>2.56915</v>
      </c>
      <c r="AV333" s="51">
        <v>-1</v>
      </c>
    </row>
    <row r="334" spans="46:48">
      <c r="AT334" s="51">
        <v>3.0057500000000004</v>
      </c>
      <c r="AV334" s="51">
        <v>-1.0499999999999545</v>
      </c>
    </row>
    <row r="335" spans="46:48">
      <c r="AT335" s="51">
        <v>3.7727300000000001</v>
      </c>
      <c r="AV335" s="51">
        <v>-1.0999999999999091</v>
      </c>
    </row>
    <row r="336" spans="46:48">
      <c r="AT336" s="51">
        <v>2.59517</v>
      </c>
      <c r="AV336" s="51">
        <v>-1.1499999999998636</v>
      </c>
    </row>
    <row r="337" spans="46:48">
      <c r="AT337" s="51">
        <v>2.2147800000000002</v>
      </c>
      <c r="AV337" s="51">
        <v>-1.1999999999998181</v>
      </c>
    </row>
    <row r="338" spans="46:48">
      <c r="AT338" s="51">
        <v>3.21394</v>
      </c>
      <c r="AV338" s="51">
        <v>-1.25</v>
      </c>
    </row>
    <row r="339" spans="46:48">
      <c r="AT339" s="51">
        <v>2.7668500000000003</v>
      </c>
      <c r="AV339" s="51">
        <v>-1.2999999999999545</v>
      </c>
    </row>
    <row r="340" spans="46:48">
      <c r="AT340" s="51">
        <v>4.0355499999999997</v>
      </c>
      <c r="AV340" s="51">
        <v>-1.3499999999999091</v>
      </c>
    </row>
    <row r="341" spans="46:48">
      <c r="AT341" s="51">
        <v>1.4058900000000001</v>
      </c>
      <c r="AV341" s="51">
        <v>-1.3999999999998636</v>
      </c>
    </row>
    <row r="342" spans="46:48">
      <c r="AT342" s="51">
        <v>1.94513</v>
      </c>
      <c r="AV342" s="51">
        <v>-1.4499999999998181</v>
      </c>
    </row>
    <row r="343" spans="46:48">
      <c r="AT343" s="51">
        <v>1.69862</v>
      </c>
      <c r="AV343" s="51">
        <v>-1.5</v>
      </c>
    </row>
    <row r="344" spans="46:48">
      <c r="AT344" s="51">
        <v>2.7016500000000003</v>
      </c>
      <c r="AV344" s="51">
        <v>-1.5499999999999545</v>
      </c>
    </row>
    <row r="345" spans="46:48">
      <c r="AT345" s="51">
        <v>1.6702600000000001</v>
      </c>
      <c r="AV345" s="51">
        <v>-1.5999999999999091</v>
      </c>
    </row>
    <row r="346" spans="46:48">
      <c r="AT346" s="51">
        <v>1.28904</v>
      </c>
      <c r="AV346" s="51">
        <v>-1.6499999999998636</v>
      </c>
    </row>
    <row r="347" spans="46:48">
      <c r="AT347" s="51">
        <v>1.43045</v>
      </c>
      <c r="AV347" s="51">
        <v>-1.6999999999998181</v>
      </c>
    </row>
    <row r="348" spans="46:48">
      <c r="AT348" s="51">
        <v>0.78117999999999999</v>
      </c>
      <c r="AV348" s="51">
        <v>-1.75</v>
      </c>
    </row>
    <row r="349" spans="46:48">
      <c r="AT349" s="51">
        <v>1.7198200000000001</v>
      </c>
      <c r="AV349" s="51">
        <v>-1.7999999999999545</v>
      </c>
    </row>
    <row r="350" spans="46:48">
      <c r="AT350" s="51">
        <v>1.0040199999999999</v>
      </c>
      <c r="AV350" s="51">
        <v>-1.8499999999999091</v>
      </c>
    </row>
    <row r="351" spans="46:48">
      <c r="AT351" s="51">
        <v>1.4180900000000001</v>
      </c>
      <c r="AV351" s="51">
        <v>-1.8999999999998636</v>
      </c>
    </row>
    <row r="352" spans="46:48">
      <c r="AT352" s="51">
        <v>2.1626799999999999</v>
      </c>
      <c r="AV352" s="51">
        <v>-1.9499999999998181</v>
      </c>
    </row>
    <row r="353" spans="46:48">
      <c r="AT353" s="51">
        <v>1.45625</v>
      </c>
      <c r="AV353" s="51">
        <v>-2</v>
      </c>
    </row>
    <row r="354" spans="46:48">
      <c r="AT354" s="51">
        <v>1.7524</v>
      </c>
      <c r="AV354" s="51">
        <v>-2.0499999999999545</v>
      </c>
    </row>
    <row r="355" spans="46:48">
      <c r="AT355" s="51">
        <v>2.8875299999999999</v>
      </c>
      <c r="AV355" s="51">
        <v>-2.0999999999999091</v>
      </c>
    </row>
    <row r="356" spans="46:48">
      <c r="AT356" s="51">
        <v>3.0340599999999998</v>
      </c>
      <c r="AV356" s="51">
        <v>-2.1499999999998636</v>
      </c>
    </row>
    <row r="357" spans="46:48">
      <c r="AT357" s="51">
        <v>1.7370000000000001</v>
      </c>
      <c r="AV357" s="51">
        <v>-2.1999999999998181</v>
      </c>
    </row>
    <row r="358" spans="46:48">
      <c r="AT358" s="51">
        <v>4.1922200000000007</v>
      </c>
      <c r="AV358" s="51">
        <v>-2.25</v>
      </c>
    </row>
    <row r="359" spans="46:48">
      <c r="AT359" s="51">
        <v>0.77461000000000002</v>
      </c>
      <c r="AV359" s="51">
        <v>-2.2999999999999545</v>
      </c>
    </row>
    <row r="360" spans="46:48">
      <c r="AT360" s="51">
        <v>1.8425699999999998</v>
      </c>
      <c r="AV360" s="51">
        <v>-2.3499999999999091</v>
      </c>
    </row>
    <row r="361" spans="46:48">
      <c r="AT361" s="51">
        <v>1.5973999999999999</v>
      </c>
      <c r="AV361" s="51">
        <v>-2.3999999999998636</v>
      </c>
    </row>
    <row r="362" spans="46:48">
      <c r="AT362" s="51">
        <v>1.8749100000000001</v>
      </c>
      <c r="AV362" s="51">
        <v>-2.4499999999998181</v>
      </c>
    </row>
    <row r="363" spans="46:48">
      <c r="AT363" s="51">
        <v>4.9923199999999994</v>
      </c>
      <c r="AV363" s="51">
        <v>-2.5</v>
      </c>
    </row>
    <row r="364" spans="46:48">
      <c r="AT364" s="51">
        <v>3.4202899999999996</v>
      </c>
      <c r="AV364" s="51">
        <v>-2.5499999999999545</v>
      </c>
    </row>
    <row r="365" spans="46:48">
      <c r="AT365" s="51">
        <v>1.9154800000000001</v>
      </c>
      <c r="AV365" s="51">
        <v>-2.5999999999999091</v>
      </c>
    </row>
    <row r="366" spans="46:48">
      <c r="AT366" s="51">
        <v>1.3239099999999999</v>
      </c>
      <c r="AV366" s="51">
        <v>-2.6499999999998636</v>
      </c>
    </row>
    <row r="367" spans="46:48">
      <c r="AT367" s="51">
        <v>3.10853</v>
      </c>
      <c r="AV367" s="51">
        <v>-2.6999999999998181</v>
      </c>
    </row>
    <row r="368" spans="46:48">
      <c r="AT368" s="51">
        <v>2.1151299999999997</v>
      </c>
      <c r="AV368" s="51">
        <v>-2.75</v>
      </c>
    </row>
    <row r="369" spans="46:48">
      <c r="AT369" s="51">
        <v>6.6460799999999995</v>
      </c>
      <c r="AV369" s="51">
        <v>-3.0999999999999091</v>
      </c>
    </row>
    <row r="370" spans="46:48">
      <c r="AT370" s="51">
        <v>4.6885300000000001</v>
      </c>
      <c r="AV370" s="51">
        <v>-3.1499999999998636</v>
      </c>
    </row>
    <row r="371" spans="46:48">
      <c r="AT371" s="51">
        <v>5.04244</v>
      </c>
      <c r="AV371" s="51">
        <v>-3.1999999999998181</v>
      </c>
    </row>
    <row r="372" spans="46:48">
      <c r="AT372" s="51">
        <v>4.6693700000000007</v>
      </c>
      <c r="AV372" s="51">
        <v>-3.25</v>
      </c>
    </row>
    <row r="373" spans="46:48">
      <c r="AT373" s="51">
        <v>1.7873800000000002</v>
      </c>
      <c r="AV373" s="51">
        <v>-3.2999999999999545</v>
      </c>
    </row>
    <row r="374" spans="46:48">
      <c r="AT374" s="51">
        <v>2.6085500000000001</v>
      </c>
      <c r="AV374" s="51">
        <v>-3.3499999999999091</v>
      </c>
    </row>
    <row r="375" spans="46:48">
      <c r="AT375" s="51">
        <v>4.6115500000000003</v>
      </c>
      <c r="AV375" s="51">
        <v>-3.3999999999998636</v>
      </c>
    </row>
    <row r="376" spans="46:48">
      <c r="AT376" s="51">
        <v>3.6420300000000001</v>
      </c>
      <c r="AV376" s="51">
        <v>-3.4499999999998181</v>
      </c>
    </row>
    <row r="377" spans="46:48">
      <c r="AT377" s="51">
        <v>3.0618099999999999</v>
      </c>
      <c r="AV377" s="51">
        <v>-3.5</v>
      </c>
    </row>
    <row r="378" spans="46:48">
      <c r="AT378" s="51">
        <v>1.36344</v>
      </c>
      <c r="AV378" s="51">
        <v>-3.5499999999999545</v>
      </c>
    </row>
    <row r="379" spans="46:48">
      <c r="AT379" s="51">
        <v>5.6498699999999999</v>
      </c>
      <c r="AV379" s="51">
        <v>-3.5999999999999091</v>
      </c>
    </row>
    <row r="380" spans="46:48">
      <c r="AT380" s="51">
        <v>7.5890799999999992</v>
      </c>
      <c r="AV380" s="51">
        <v>-3.6499999999998636</v>
      </c>
    </row>
    <row r="381" spans="46:48">
      <c r="AT381" s="51">
        <v>1.13662</v>
      </c>
      <c r="AV381" s="51">
        <v>-3.6999999999998181</v>
      </c>
    </row>
    <row r="382" spans="46:48">
      <c r="AT382" s="51">
        <v>0.68402000000000007</v>
      </c>
      <c r="AV382" s="51">
        <v>-3.75</v>
      </c>
    </row>
    <row r="383" spans="46:48">
      <c r="AT383" s="51">
        <v>0.84811999999999999</v>
      </c>
      <c r="AV383" s="51">
        <v>-3.7999999999999545</v>
      </c>
    </row>
    <row r="384" spans="46:48">
      <c r="AT384" s="51">
        <v>0.26233000000000001</v>
      </c>
      <c r="AV384" s="51">
        <v>-3.8499999999999091</v>
      </c>
    </row>
    <row r="385" spans="46:48">
      <c r="AT385" s="51">
        <v>3.1842899999999998</v>
      </c>
      <c r="AV385" s="51">
        <v>-3.8999999999998636</v>
      </c>
    </row>
    <row r="386" spans="46:48">
      <c r="AT386" s="51">
        <v>2.46373</v>
      </c>
      <c r="AV386" s="51">
        <v>-3.9499999999998181</v>
      </c>
    </row>
    <row r="387" spans="46:48">
      <c r="AT387" s="51">
        <v>0.74892000000000003</v>
      </c>
      <c r="AV387" s="51">
        <v>-4</v>
      </c>
    </row>
    <row r="388" spans="46:48">
      <c r="AT388" s="51">
        <v>0.88658000000000003</v>
      </c>
      <c r="AV388" s="51">
        <v>-4.0499999999999545</v>
      </c>
    </row>
    <row r="389" spans="46:48">
      <c r="AT389" s="51">
        <v>2.5511400000000002</v>
      </c>
      <c r="AV389" s="51">
        <v>-4.0999999999999091</v>
      </c>
    </row>
    <row r="390" spans="46:48">
      <c r="AT390" s="51">
        <v>2.02929</v>
      </c>
      <c r="AV390" s="51">
        <v>-4.1499999999998636</v>
      </c>
    </row>
    <row r="391" spans="46:48">
      <c r="AT391" s="51">
        <v>1.9164299999999999</v>
      </c>
      <c r="AV391" s="51">
        <v>-4.1999999999998181</v>
      </c>
    </row>
    <row r="392" spans="46:48">
      <c r="AT392" s="51">
        <v>1.7301</v>
      </c>
      <c r="AV392" s="51">
        <v>-4.25</v>
      </c>
    </row>
    <row r="393" spans="46:48">
      <c r="AT393" s="51">
        <v>1.2132399999999999</v>
      </c>
      <c r="AV393" s="51">
        <v>-4.2999999999999545</v>
      </c>
    </row>
    <row r="394" spans="46:48">
      <c r="AT394" s="51">
        <v>3.5316099999999997</v>
      </c>
      <c r="AV394" s="51">
        <v>-4.3499999999999091</v>
      </c>
    </row>
    <row r="395" spans="46:48">
      <c r="AT395" s="51">
        <v>1.95044</v>
      </c>
      <c r="AV395" s="51">
        <v>-4.3999999999998636</v>
      </c>
    </row>
    <row r="396" spans="46:48">
      <c r="AT396" s="51">
        <v>0.50588999999999995</v>
      </c>
      <c r="AV396" s="51">
        <v>-4.4499999999998181</v>
      </c>
    </row>
    <row r="397" spans="46:48">
      <c r="AT397" s="51">
        <v>1.25919</v>
      </c>
      <c r="AV397" s="51">
        <v>-4.75</v>
      </c>
    </row>
    <row r="398" spans="46:48">
      <c r="AT398" s="51">
        <v>1.4612700000000001</v>
      </c>
      <c r="AV398" s="51">
        <v>-4.7999999999999545</v>
      </c>
    </row>
    <row r="399" spans="46:48">
      <c r="AT399" s="51">
        <v>1.7981800000000001</v>
      </c>
      <c r="AV399" s="51">
        <v>-4.8499999999999091</v>
      </c>
    </row>
    <row r="400" spans="46:48">
      <c r="AT400" s="51">
        <v>1.1423399999999999</v>
      </c>
      <c r="AV400" s="51">
        <v>-4.8999999999998636</v>
      </c>
    </row>
    <row r="401" spans="46:48">
      <c r="AT401" s="51">
        <v>1.8683999999999998</v>
      </c>
      <c r="AV401" s="51">
        <v>-4.9499999999998181</v>
      </c>
    </row>
    <row r="402" spans="46:48">
      <c r="AT402" s="51">
        <v>2.1406800000000001</v>
      </c>
      <c r="AV402" s="51">
        <v>-5</v>
      </c>
    </row>
    <row r="403" spans="46:48">
      <c r="AT403" s="51"/>
      <c r="AV403" s="51"/>
    </row>
    <row r="404" spans="46:48">
      <c r="AT404" s="51"/>
      <c r="AV404" s="51"/>
    </row>
    <row r="405" spans="46:48">
      <c r="AT405" s="51"/>
      <c r="AV405" s="51"/>
    </row>
    <row r="406" spans="46:48">
      <c r="AT406" s="51"/>
      <c r="AV406" s="51"/>
    </row>
    <row r="407" spans="46:48">
      <c r="AT407" s="51"/>
      <c r="AV407" s="51"/>
    </row>
    <row r="408" spans="46:48">
      <c r="AT408" s="51"/>
      <c r="AV408" s="51"/>
    </row>
    <row r="409" spans="46:48">
      <c r="AT409" s="51"/>
      <c r="AV409" s="51"/>
    </row>
    <row r="410" spans="46:48">
      <c r="AT410" s="51"/>
      <c r="AV410" s="51"/>
    </row>
    <row r="411" spans="46:48">
      <c r="AT411" s="51"/>
      <c r="AV411" s="51"/>
    </row>
    <row r="412" spans="46:48">
      <c r="AT412" s="51"/>
      <c r="AV412" s="51"/>
    </row>
    <row r="413" spans="46:48">
      <c r="AT413" s="51"/>
      <c r="AV413" s="51"/>
    </row>
    <row r="414" spans="46:48">
      <c r="AT414" s="51"/>
      <c r="AV414" s="51"/>
    </row>
    <row r="415" spans="46:48">
      <c r="AT415" s="51"/>
      <c r="AV415" s="51"/>
    </row>
    <row r="416" spans="46:48">
      <c r="AT416" s="51"/>
      <c r="AV416" s="51"/>
    </row>
    <row r="417" spans="46:48">
      <c r="AT417" s="51"/>
      <c r="AV417" s="51"/>
    </row>
    <row r="418" spans="46:48">
      <c r="AT418" s="51"/>
      <c r="AV418" s="51"/>
    </row>
    <row r="419" spans="46:48">
      <c r="AT419" s="51"/>
      <c r="AV419" s="51"/>
    </row>
    <row r="420" spans="46:48">
      <c r="AT420" s="51"/>
      <c r="AV420" s="51"/>
    </row>
    <row r="421" spans="46:48">
      <c r="AT421" s="51"/>
      <c r="AV421" s="51"/>
    </row>
    <row r="422" spans="46:48">
      <c r="AT422" s="51"/>
      <c r="AV422" s="51"/>
    </row>
    <row r="423" spans="46:48">
      <c r="AT423" s="51"/>
      <c r="AV423" s="51"/>
    </row>
    <row r="424" spans="46:48">
      <c r="AT424" s="51"/>
      <c r="AV424" s="51"/>
    </row>
    <row r="425" spans="46:48">
      <c r="AT425" s="51"/>
      <c r="AV425" s="51"/>
    </row>
    <row r="426" spans="46:48">
      <c r="AT426" s="51"/>
      <c r="AV426" s="51"/>
    </row>
    <row r="427" spans="46:48">
      <c r="AT427" s="51"/>
      <c r="AV427" s="51"/>
    </row>
    <row r="428" spans="46:48">
      <c r="AT428" s="51"/>
      <c r="AV428" s="51"/>
    </row>
    <row r="429" spans="46:48">
      <c r="AT429" s="51"/>
      <c r="AV429" s="51"/>
    </row>
    <row r="430" spans="46:48">
      <c r="AT430" s="51"/>
      <c r="AV430" s="51"/>
    </row>
    <row r="431" spans="46:48">
      <c r="AT431" s="51"/>
      <c r="AV431" s="51"/>
    </row>
    <row r="432" spans="46:48">
      <c r="AT432" s="51"/>
      <c r="AV432" s="51"/>
    </row>
    <row r="433" spans="46:48">
      <c r="AT433" s="51"/>
      <c r="AV433" s="51"/>
    </row>
    <row r="434" spans="46:48">
      <c r="AT434" s="51"/>
      <c r="AV434" s="51"/>
    </row>
    <row r="435" spans="46:48">
      <c r="AT435" s="51"/>
      <c r="AV435" s="51"/>
    </row>
    <row r="436" spans="46:48">
      <c r="AT436" s="51"/>
      <c r="AV436" s="51"/>
    </row>
    <row r="437" spans="46:48">
      <c r="AT437" s="51"/>
      <c r="AV437" s="51"/>
    </row>
    <row r="438" spans="46:48">
      <c r="AT438" s="51"/>
      <c r="AV438" s="51"/>
    </row>
    <row r="439" spans="46:48">
      <c r="AT439" s="51"/>
      <c r="AV439" s="51"/>
    </row>
    <row r="440" spans="46:48">
      <c r="AT440" s="51"/>
      <c r="AV440" s="51"/>
    </row>
    <row r="441" spans="46:48">
      <c r="AT441" s="51"/>
      <c r="AV441" s="51"/>
    </row>
    <row r="442" spans="46:48">
      <c r="AT442" s="51"/>
      <c r="AV442" s="51"/>
    </row>
    <row r="443" spans="46:48">
      <c r="AT443" s="51"/>
      <c r="AV443" s="51"/>
    </row>
    <row r="444" spans="46:48">
      <c r="AT444" s="51"/>
      <c r="AV444" s="51"/>
    </row>
    <row r="445" spans="46:48">
      <c r="AT445" s="51"/>
      <c r="AV445" s="51"/>
    </row>
    <row r="446" spans="46:48">
      <c r="AT446" s="51"/>
      <c r="AV446" s="51"/>
    </row>
    <row r="447" spans="46:48">
      <c r="AT447" s="51"/>
      <c r="AV447" s="51"/>
    </row>
    <row r="448" spans="46:48">
      <c r="AT448" s="51"/>
      <c r="AV448" s="51"/>
    </row>
    <row r="449" spans="46:48">
      <c r="AT449" s="51"/>
      <c r="AV449" s="51"/>
    </row>
    <row r="450" spans="46:48">
      <c r="AT450" s="51"/>
      <c r="AV450" s="51"/>
    </row>
    <row r="451" spans="46:48">
      <c r="AT451" s="51"/>
      <c r="AV451" s="51"/>
    </row>
    <row r="452" spans="46:48">
      <c r="AT452" s="51"/>
      <c r="AV452" s="51"/>
    </row>
    <row r="453" spans="46:48">
      <c r="AT453" s="51"/>
      <c r="AV453" s="51"/>
    </row>
    <row r="454" spans="46:48">
      <c r="AT454" s="51"/>
      <c r="AV454" s="51"/>
    </row>
    <row r="455" spans="46:48">
      <c r="AT455" s="51"/>
      <c r="AV455" s="51"/>
    </row>
    <row r="456" spans="46:48">
      <c r="AT456" s="51"/>
      <c r="AV456" s="51"/>
    </row>
    <row r="457" spans="46:48">
      <c r="AT457" s="51"/>
      <c r="AV457" s="51"/>
    </row>
    <row r="458" spans="46:48">
      <c r="AT458" s="51"/>
      <c r="AV458" s="51"/>
    </row>
    <row r="459" spans="46:48">
      <c r="AT459" s="51"/>
      <c r="AV459" s="51"/>
    </row>
    <row r="460" spans="46:48">
      <c r="AT460" s="51"/>
      <c r="AV460" s="51"/>
    </row>
    <row r="461" spans="46:48">
      <c r="AT461" s="51"/>
      <c r="AV461" s="51"/>
    </row>
    <row r="462" spans="46:48">
      <c r="AT462" s="51"/>
      <c r="AV462" s="51"/>
    </row>
    <row r="463" spans="46:48">
      <c r="AT463" s="51"/>
      <c r="AV463" s="51"/>
    </row>
    <row r="464" spans="46:48">
      <c r="AT464" s="51"/>
      <c r="AV464" s="51"/>
    </row>
    <row r="465" spans="46:48">
      <c r="AT465" s="51"/>
      <c r="AV465" s="51"/>
    </row>
    <row r="466" spans="46:48">
      <c r="AT466" s="51"/>
      <c r="AV466" s="51"/>
    </row>
    <row r="467" spans="46:48">
      <c r="AT467" s="51"/>
      <c r="AV467" s="51"/>
    </row>
    <row r="468" spans="46:48">
      <c r="AT468" s="51"/>
      <c r="AV468" s="51"/>
    </row>
    <row r="469" spans="46:48">
      <c r="AT469" s="51"/>
      <c r="AV469" s="51"/>
    </row>
    <row r="470" spans="46:48">
      <c r="AT470" s="51"/>
      <c r="AV470" s="51"/>
    </row>
    <row r="471" spans="46:48">
      <c r="AT471" s="51"/>
      <c r="AV471" s="51"/>
    </row>
    <row r="472" spans="46:48">
      <c r="AT472" s="51"/>
      <c r="AV472" s="51"/>
    </row>
    <row r="473" spans="46:48">
      <c r="AT473" s="51"/>
      <c r="AV473" s="51"/>
    </row>
    <row r="474" spans="46:48">
      <c r="AT474" s="51"/>
      <c r="AV474" s="51"/>
    </row>
    <row r="475" spans="46:48">
      <c r="AT475" s="51"/>
      <c r="AV475" s="51"/>
    </row>
    <row r="476" spans="46:48">
      <c r="AT476" s="51"/>
      <c r="AV476" s="51"/>
    </row>
    <row r="477" spans="46:48">
      <c r="AT477" s="51"/>
      <c r="AV477" s="51"/>
    </row>
    <row r="478" spans="46:48">
      <c r="AT478" s="51"/>
      <c r="AV478" s="51"/>
    </row>
    <row r="479" spans="46:48">
      <c r="AT479" s="51"/>
      <c r="AV479" s="51"/>
    </row>
    <row r="480" spans="46:48">
      <c r="AT480" s="51"/>
      <c r="AV480" s="51"/>
    </row>
    <row r="481" spans="46:48">
      <c r="AT481" s="51"/>
      <c r="AV481" s="51"/>
    </row>
    <row r="482" spans="46:48">
      <c r="AT482" s="51"/>
      <c r="AV482" s="51"/>
    </row>
    <row r="483" spans="46:48">
      <c r="AT483" s="51"/>
      <c r="AV483" s="51"/>
    </row>
    <row r="484" spans="46:48">
      <c r="AT484" s="51"/>
      <c r="AV484" s="51"/>
    </row>
    <row r="485" spans="46:48">
      <c r="AT485" s="51"/>
      <c r="AV485" s="51"/>
    </row>
    <row r="486" spans="46:48">
      <c r="AT486" s="51"/>
      <c r="AV486" s="51"/>
    </row>
    <row r="487" spans="46:48">
      <c r="AT487" s="51"/>
      <c r="AV487" s="51"/>
    </row>
    <row r="488" spans="46:48">
      <c r="AT488" s="51"/>
      <c r="AV488" s="51"/>
    </row>
    <row r="489" spans="46:48">
      <c r="AT489" s="51"/>
      <c r="AV489" s="51"/>
    </row>
    <row r="490" spans="46:48">
      <c r="AT490" s="51"/>
      <c r="AV490" s="51"/>
    </row>
    <row r="491" spans="46:48">
      <c r="AT491" s="51"/>
      <c r="AV491" s="51"/>
    </row>
    <row r="492" spans="46:48">
      <c r="AT492" s="51"/>
      <c r="AV492" s="51"/>
    </row>
    <row r="493" spans="46:48">
      <c r="AT493" s="51"/>
      <c r="AV493" s="51"/>
    </row>
    <row r="494" spans="46:48">
      <c r="AT494" s="51"/>
      <c r="AV494" s="51"/>
    </row>
    <row r="495" spans="46:48">
      <c r="AT495" s="51"/>
      <c r="AV495" s="51"/>
    </row>
    <row r="496" spans="46:48">
      <c r="AT496" s="51"/>
      <c r="AV496" s="51"/>
    </row>
    <row r="497" spans="46:48">
      <c r="AT497" s="51"/>
      <c r="AV497" s="51"/>
    </row>
    <row r="498" spans="46:48">
      <c r="AT498" s="51"/>
      <c r="AV498" s="51"/>
    </row>
    <row r="499" spans="46:48">
      <c r="AT499" s="51"/>
      <c r="AV499" s="51"/>
    </row>
    <row r="500" spans="46:48">
      <c r="AT500" s="51"/>
      <c r="AV500" s="51"/>
    </row>
    <row r="501" spans="46:48">
      <c r="AT501" s="51"/>
      <c r="AV501" s="51"/>
    </row>
    <row r="502" spans="46:48">
      <c r="AT502" s="51"/>
      <c r="AV502" s="51"/>
    </row>
    <row r="503" spans="46:48">
      <c r="AT503" s="51"/>
      <c r="AV503" s="51"/>
    </row>
    <row r="504" spans="46:48">
      <c r="AT504" s="51"/>
      <c r="AV504" s="51"/>
    </row>
    <row r="505" spans="46:48">
      <c r="AT505" s="51"/>
      <c r="AV505" s="51"/>
    </row>
    <row r="506" spans="46:48">
      <c r="AT506" s="51"/>
      <c r="AV506" s="51"/>
    </row>
    <row r="507" spans="46:48">
      <c r="AT507" s="51"/>
      <c r="AV507" s="51"/>
    </row>
    <row r="508" spans="46:48">
      <c r="AT508" s="51"/>
      <c r="AV508" s="51"/>
    </row>
    <row r="509" spans="46:48">
      <c r="AT509" s="51"/>
      <c r="AV509" s="51"/>
    </row>
    <row r="510" spans="46:48">
      <c r="AT510" s="51"/>
      <c r="AV510" s="51"/>
    </row>
    <row r="511" spans="46:48">
      <c r="AT511" s="51"/>
      <c r="AV511" s="51"/>
    </row>
    <row r="512" spans="46:48">
      <c r="AT512" s="51"/>
      <c r="AV512" s="51"/>
    </row>
    <row r="513" spans="46:48">
      <c r="AT513" s="51"/>
      <c r="AV513" s="51"/>
    </row>
    <row r="514" spans="46:48">
      <c r="AT514" s="51"/>
      <c r="AV514" s="51"/>
    </row>
    <row r="515" spans="46:48">
      <c r="AT515" s="51"/>
      <c r="AV515" s="51"/>
    </row>
    <row r="516" spans="46:48">
      <c r="AT516" s="51"/>
      <c r="AV516" s="51"/>
    </row>
    <row r="517" spans="46:48">
      <c r="AT517" s="51"/>
      <c r="AV517" s="51"/>
    </row>
    <row r="518" spans="46:48">
      <c r="AT518" s="51"/>
      <c r="AV518" s="51"/>
    </row>
    <row r="519" spans="46:48">
      <c r="AT519" s="51"/>
      <c r="AV519" s="51"/>
    </row>
    <row r="520" spans="46:48">
      <c r="AT520" s="51"/>
      <c r="AV520" s="51"/>
    </row>
    <row r="521" spans="46:48">
      <c r="AT521" s="51"/>
      <c r="AV521" s="51"/>
    </row>
    <row r="522" spans="46:48">
      <c r="AT522" s="51"/>
      <c r="AV522" s="51"/>
    </row>
    <row r="523" spans="46:48">
      <c r="AT523" s="51"/>
      <c r="AV523" s="51"/>
    </row>
    <row r="524" spans="46:48">
      <c r="AT524" s="51"/>
      <c r="AV524" s="51"/>
    </row>
    <row r="525" spans="46:48">
      <c r="AT525" s="51"/>
      <c r="AV525" s="51"/>
    </row>
    <row r="526" spans="46:48">
      <c r="AT526" s="51"/>
      <c r="AV526" s="51"/>
    </row>
    <row r="527" spans="46:48">
      <c r="AT527" s="51"/>
      <c r="AV527" s="51"/>
    </row>
    <row r="528" spans="46:48">
      <c r="AT528" s="51"/>
      <c r="AV528" s="51"/>
    </row>
    <row r="529" spans="46:48">
      <c r="AT529" s="51"/>
      <c r="AV529" s="51"/>
    </row>
    <row r="530" spans="46:48">
      <c r="AT530" s="51"/>
      <c r="AV530" s="51"/>
    </row>
    <row r="531" spans="46:48">
      <c r="AT531" s="51"/>
      <c r="AV531" s="51"/>
    </row>
    <row r="532" spans="46:48">
      <c r="AT532" s="51"/>
      <c r="AV532" s="51"/>
    </row>
    <row r="533" spans="46:48">
      <c r="AT533" s="51"/>
      <c r="AV533" s="51"/>
    </row>
    <row r="534" spans="46:48">
      <c r="AT534" s="51"/>
      <c r="AV534" s="51"/>
    </row>
    <row r="535" spans="46:48">
      <c r="AT535" s="51"/>
      <c r="AV535" s="51"/>
    </row>
    <row r="536" spans="46:48">
      <c r="AT536" s="51"/>
      <c r="AV536" s="51"/>
    </row>
    <row r="537" spans="46:48">
      <c r="AT537" s="51"/>
      <c r="AV537" s="51"/>
    </row>
    <row r="538" spans="46:48">
      <c r="AT538" s="51"/>
      <c r="AV538" s="51"/>
    </row>
    <row r="539" spans="46:48">
      <c r="AT539" s="51"/>
      <c r="AV539" s="51"/>
    </row>
    <row r="540" spans="46:48">
      <c r="AT540" s="51"/>
      <c r="AV540" s="51"/>
    </row>
    <row r="541" spans="46:48">
      <c r="AT541" s="51"/>
      <c r="AV541" s="51"/>
    </row>
    <row r="542" spans="46:48">
      <c r="AT542" s="51"/>
      <c r="AV542" s="51"/>
    </row>
    <row r="543" spans="46:48">
      <c r="AT543" s="51"/>
      <c r="AV543" s="51"/>
    </row>
    <row r="544" spans="46:48">
      <c r="AT544" s="51"/>
      <c r="AV544" s="51"/>
    </row>
    <row r="545" spans="46:48">
      <c r="AT545" s="51"/>
      <c r="AV545" s="51"/>
    </row>
    <row r="546" spans="46:48">
      <c r="AT546" s="51"/>
      <c r="AV546" s="51"/>
    </row>
    <row r="547" spans="46:48">
      <c r="AT547" s="51"/>
      <c r="AV547" s="51"/>
    </row>
    <row r="548" spans="46:48">
      <c r="AT548" s="51"/>
      <c r="AV548" s="51"/>
    </row>
    <row r="549" spans="46:48">
      <c r="AT549" s="51"/>
      <c r="AV549" s="51"/>
    </row>
    <row r="550" spans="46:48">
      <c r="AT550" s="51"/>
      <c r="AV550" s="51"/>
    </row>
    <row r="551" spans="46:48">
      <c r="AT551" s="51"/>
      <c r="AV551" s="51"/>
    </row>
    <row r="552" spans="46:48">
      <c r="AT552" s="51"/>
      <c r="AV552" s="51"/>
    </row>
    <row r="553" spans="46:48">
      <c r="AT553" s="51"/>
      <c r="AV553" s="51"/>
    </row>
    <row r="554" spans="46:48">
      <c r="AT554" s="51"/>
      <c r="AV554" s="51"/>
    </row>
    <row r="555" spans="46:48">
      <c r="AT555" s="51"/>
      <c r="AV555" s="51"/>
    </row>
    <row r="556" spans="46:48">
      <c r="AT556" s="51"/>
      <c r="AV556" s="51"/>
    </row>
    <row r="557" spans="46:48">
      <c r="AT557" s="51"/>
      <c r="AV557" s="51"/>
    </row>
    <row r="558" spans="46:48">
      <c r="AT558" s="51"/>
      <c r="AV558" s="51"/>
    </row>
    <row r="559" spans="46:48">
      <c r="AT559" s="51"/>
      <c r="AV559" s="51"/>
    </row>
    <row r="560" spans="46:48">
      <c r="AT560" s="51"/>
      <c r="AV560" s="51"/>
    </row>
    <row r="561" spans="46:48">
      <c r="AT561" s="51"/>
      <c r="AV561" s="51"/>
    </row>
    <row r="562" spans="46:48">
      <c r="AT562" s="51"/>
      <c r="AV562" s="51"/>
    </row>
    <row r="563" spans="46:48">
      <c r="AT563" s="51"/>
      <c r="AV563" s="51"/>
    </row>
    <row r="564" spans="46:48">
      <c r="AT564" s="51"/>
      <c r="AV564" s="51"/>
    </row>
    <row r="565" spans="46:48">
      <c r="AT565" s="51"/>
      <c r="AV565" s="51"/>
    </row>
    <row r="566" spans="46:48">
      <c r="AT566" s="51"/>
      <c r="AV566" s="51"/>
    </row>
    <row r="567" spans="46:48">
      <c r="AT567" s="51"/>
      <c r="AV567" s="51"/>
    </row>
    <row r="568" spans="46:48">
      <c r="AT568" s="51"/>
      <c r="AV568" s="51"/>
    </row>
    <row r="569" spans="46:48">
      <c r="AT569" s="51"/>
      <c r="AV569" s="51"/>
    </row>
    <row r="570" spans="46:48">
      <c r="AT570" s="51"/>
      <c r="AV570" s="51"/>
    </row>
    <row r="571" spans="46:48">
      <c r="AT571" s="51"/>
      <c r="AV571" s="51"/>
    </row>
    <row r="572" spans="46:48">
      <c r="AT572" s="51"/>
      <c r="AV572" s="51"/>
    </row>
    <row r="573" spans="46:48">
      <c r="AT573" s="51"/>
      <c r="AV573" s="51"/>
    </row>
    <row r="574" spans="46:48">
      <c r="AT574" s="51"/>
      <c r="AV574" s="51"/>
    </row>
    <row r="575" spans="46:48">
      <c r="AT575" s="51"/>
      <c r="AV575" s="51"/>
    </row>
    <row r="576" spans="46:48">
      <c r="AT576" s="51"/>
      <c r="AV576" s="51"/>
    </row>
    <row r="577" spans="46:48">
      <c r="AT577" s="51"/>
      <c r="AV577" s="51"/>
    </row>
    <row r="578" spans="46:48">
      <c r="AT578" s="51"/>
      <c r="AV578" s="51"/>
    </row>
    <row r="579" spans="46:48">
      <c r="AT579" s="51"/>
      <c r="AV579" s="51"/>
    </row>
    <row r="580" spans="46:48">
      <c r="AT580" s="51"/>
      <c r="AV580" s="51"/>
    </row>
    <row r="581" spans="46:48">
      <c r="AT581" s="51"/>
      <c r="AV581" s="51"/>
    </row>
    <row r="582" spans="46:48">
      <c r="AT582" s="51"/>
      <c r="AV582" s="51"/>
    </row>
    <row r="583" spans="46:48">
      <c r="AT583" s="51"/>
      <c r="AV583" s="51"/>
    </row>
    <row r="584" spans="46:48">
      <c r="AT584" s="51"/>
      <c r="AV584" s="51"/>
    </row>
    <row r="585" spans="46:48">
      <c r="AT585" s="51"/>
      <c r="AV585" s="51"/>
    </row>
    <row r="586" spans="46:48">
      <c r="AT586" s="51"/>
      <c r="AV586" s="51"/>
    </row>
    <row r="587" spans="46:48">
      <c r="AT587" s="51"/>
      <c r="AV587" s="51"/>
    </row>
    <row r="588" spans="46:48">
      <c r="AT588" s="51"/>
      <c r="AV588" s="51"/>
    </row>
    <row r="589" spans="46:48">
      <c r="AT589" s="51"/>
      <c r="AV589" s="51"/>
    </row>
    <row r="590" spans="46:48">
      <c r="AT590" s="51"/>
      <c r="AV590" s="51"/>
    </row>
    <row r="591" spans="46:48">
      <c r="AT591" s="51"/>
      <c r="AV591" s="51"/>
    </row>
    <row r="592" spans="46:48">
      <c r="AT592" s="51"/>
      <c r="AV592" s="51"/>
    </row>
    <row r="593" spans="46:48">
      <c r="AT593" s="51"/>
      <c r="AV593" s="51"/>
    </row>
    <row r="594" spans="46:48">
      <c r="AT594" s="51"/>
      <c r="AV594" s="51"/>
    </row>
    <row r="595" spans="46:48">
      <c r="AT595" s="51"/>
      <c r="AV595" s="51"/>
    </row>
    <row r="596" spans="46:48">
      <c r="AT596" s="51"/>
      <c r="AV596" s="51"/>
    </row>
    <row r="597" spans="46:48">
      <c r="AT597" s="51"/>
      <c r="AV597" s="51"/>
    </row>
    <row r="598" spans="46:48">
      <c r="AT598" s="51"/>
      <c r="AV598" s="51"/>
    </row>
    <row r="599" spans="46:48">
      <c r="AT599" s="51"/>
      <c r="AV599" s="51"/>
    </row>
    <row r="600" spans="46:48">
      <c r="AT600" s="51"/>
      <c r="AV600" s="51"/>
    </row>
    <row r="601" spans="46:48">
      <c r="AT601" s="51"/>
      <c r="AV601" s="51"/>
    </row>
    <row r="602" spans="46:48">
      <c r="AT602" s="51"/>
      <c r="AV602" s="51"/>
    </row>
    <row r="603" spans="46:48">
      <c r="AT603" s="51"/>
      <c r="AV603" s="51"/>
    </row>
    <row r="604" spans="46:48">
      <c r="AT604" s="51"/>
      <c r="AV604" s="51"/>
    </row>
    <row r="605" spans="46:48">
      <c r="AT605" s="51"/>
      <c r="AV605" s="51"/>
    </row>
    <row r="606" spans="46:48">
      <c r="AT606" s="51"/>
      <c r="AV606" s="51"/>
    </row>
    <row r="607" spans="46:48">
      <c r="AT607" s="51"/>
      <c r="AV607" s="51"/>
    </row>
    <row r="608" spans="46:48">
      <c r="AT608" s="51"/>
      <c r="AV608" s="51"/>
    </row>
    <row r="609" spans="46:48">
      <c r="AT609" s="51"/>
      <c r="AV609" s="51"/>
    </row>
    <row r="610" spans="46:48">
      <c r="AT610" s="51"/>
      <c r="AV610" s="51"/>
    </row>
    <row r="611" spans="46:48">
      <c r="AT611" s="51"/>
      <c r="AV611" s="51"/>
    </row>
    <row r="612" spans="46:48">
      <c r="AT612" s="51"/>
      <c r="AV612" s="51"/>
    </row>
    <row r="613" spans="46:48">
      <c r="AT613" s="51"/>
      <c r="AV613" s="51"/>
    </row>
    <row r="614" spans="46:48">
      <c r="AT614" s="51"/>
      <c r="AV614" s="51"/>
    </row>
    <row r="615" spans="46:48">
      <c r="AT615" s="51"/>
      <c r="AV615" s="51"/>
    </row>
    <row r="616" spans="46:48">
      <c r="AT616" s="51"/>
      <c r="AV616" s="51"/>
    </row>
    <row r="617" spans="46:48">
      <c r="AT617" s="51"/>
      <c r="AV617" s="51"/>
    </row>
    <row r="618" spans="46:48">
      <c r="AT618" s="51"/>
      <c r="AV618" s="51"/>
    </row>
    <row r="619" spans="46:48">
      <c r="AT619" s="51"/>
      <c r="AV619" s="51"/>
    </row>
    <row r="620" spans="46:48">
      <c r="AT620" s="51"/>
      <c r="AV620" s="51"/>
    </row>
    <row r="621" spans="46:48">
      <c r="AT621" s="51"/>
      <c r="AV621" s="51"/>
    </row>
    <row r="622" spans="46:48">
      <c r="AT622" s="51"/>
      <c r="AV622" s="51"/>
    </row>
    <row r="623" spans="46:48">
      <c r="AT623" s="51"/>
      <c r="AV623" s="51"/>
    </row>
    <row r="624" spans="46:48">
      <c r="AT624" s="51"/>
      <c r="AV624" s="51"/>
    </row>
    <row r="625" spans="46:48">
      <c r="AT625" s="51"/>
      <c r="AV625" s="51"/>
    </row>
    <row r="626" spans="46:48">
      <c r="AT626" s="51"/>
      <c r="AV626" s="51"/>
    </row>
    <row r="627" spans="46:48">
      <c r="AT627" s="51"/>
      <c r="AV627" s="51"/>
    </row>
    <row r="628" spans="46:48">
      <c r="AT628" s="51"/>
      <c r="AV628" s="51"/>
    </row>
    <row r="629" spans="46:48">
      <c r="AT629" s="51"/>
      <c r="AV629" s="51"/>
    </row>
    <row r="630" spans="46:48">
      <c r="AT630" s="51"/>
      <c r="AV630" s="51"/>
    </row>
    <row r="631" spans="46:48">
      <c r="AT631" s="51"/>
      <c r="AV631" s="51"/>
    </row>
    <row r="632" spans="46:48">
      <c r="AT632" s="51"/>
      <c r="AV632" s="51"/>
    </row>
    <row r="633" spans="46:48">
      <c r="AT633" s="51"/>
      <c r="AV633" s="51"/>
    </row>
    <row r="634" spans="46:48">
      <c r="AT634" s="51"/>
      <c r="AV634" s="51"/>
    </row>
    <row r="635" spans="46:48">
      <c r="AT635" s="51"/>
      <c r="AV635" s="51"/>
    </row>
    <row r="636" spans="46:48">
      <c r="AT636" s="51"/>
      <c r="AV636" s="51"/>
    </row>
    <row r="637" spans="46:48">
      <c r="AT637" s="51"/>
      <c r="AV637" s="51"/>
    </row>
    <row r="638" spans="46:48">
      <c r="AT638" s="51"/>
      <c r="AV638" s="51"/>
    </row>
    <row r="639" spans="46:48">
      <c r="AT639" s="51"/>
      <c r="AV639" s="51"/>
    </row>
    <row r="640" spans="46:48">
      <c r="AT640" s="51"/>
      <c r="AV640" s="51"/>
    </row>
    <row r="641" spans="46:48">
      <c r="AT641" s="51"/>
      <c r="AV641" s="51"/>
    </row>
    <row r="642" spans="46:48">
      <c r="AT642" s="51"/>
      <c r="AV642" s="51"/>
    </row>
    <row r="643" spans="46:48">
      <c r="AT643" s="51"/>
      <c r="AV643" s="51"/>
    </row>
    <row r="644" spans="46:48">
      <c r="AT644" s="51"/>
      <c r="AV644" s="51"/>
    </row>
    <row r="645" spans="46:48">
      <c r="AT645" s="51"/>
      <c r="AV645" s="51"/>
    </row>
    <row r="646" spans="46:48">
      <c r="AT646" s="51"/>
      <c r="AV646" s="51"/>
    </row>
    <row r="647" spans="46:48">
      <c r="AT647" s="51"/>
      <c r="AV647" s="51"/>
    </row>
    <row r="648" spans="46:48">
      <c r="AT648" s="51"/>
      <c r="AV648" s="51"/>
    </row>
    <row r="649" spans="46:48">
      <c r="AT649" s="51"/>
      <c r="AV649" s="51"/>
    </row>
    <row r="650" spans="46:48">
      <c r="AT650" s="51"/>
      <c r="AV650" s="51"/>
    </row>
    <row r="651" spans="46:48">
      <c r="AT651" s="51"/>
      <c r="AV651" s="51"/>
    </row>
    <row r="652" spans="46:48">
      <c r="AT652" s="51"/>
      <c r="AV652" s="51"/>
    </row>
    <row r="653" spans="46:48">
      <c r="AT653" s="51"/>
      <c r="AV653" s="51"/>
    </row>
    <row r="654" spans="46:48">
      <c r="AT654" s="51"/>
      <c r="AV654" s="51"/>
    </row>
    <row r="655" spans="46:48">
      <c r="AT655" s="51"/>
      <c r="AV655" s="51"/>
    </row>
    <row r="656" spans="46:48">
      <c r="AT656" s="51"/>
      <c r="AV656" s="51"/>
    </row>
    <row r="657" spans="46:48">
      <c r="AT657" s="51"/>
      <c r="AV657" s="51"/>
    </row>
    <row r="658" spans="46:48">
      <c r="AT658" s="51"/>
      <c r="AV658" s="51"/>
    </row>
    <row r="659" spans="46:48">
      <c r="AT659" s="51"/>
      <c r="AV659" s="51"/>
    </row>
    <row r="660" spans="46:48">
      <c r="AT660" s="51"/>
      <c r="AV660" s="51"/>
    </row>
    <row r="661" spans="46:48">
      <c r="AT661" s="51"/>
      <c r="AV661" s="51"/>
    </row>
    <row r="662" spans="46:48">
      <c r="AT662" s="51"/>
      <c r="AV662" s="51"/>
    </row>
    <row r="663" spans="46:48">
      <c r="AT663" s="51"/>
      <c r="AV663" s="51"/>
    </row>
    <row r="664" spans="46:48">
      <c r="AT664" s="51"/>
      <c r="AV664" s="51"/>
    </row>
    <row r="665" spans="46:48">
      <c r="AT665" s="51"/>
      <c r="AV665" s="51"/>
    </row>
    <row r="666" spans="46:48">
      <c r="AT666" s="51"/>
      <c r="AV666" s="51"/>
    </row>
    <row r="667" spans="46:48">
      <c r="AT667" s="51"/>
      <c r="AV667" s="51"/>
    </row>
    <row r="668" spans="46:48">
      <c r="AT668" s="51"/>
      <c r="AV668" s="51"/>
    </row>
    <row r="669" spans="46:48">
      <c r="AT669" s="51"/>
      <c r="AV669" s="51"/>
    </row>
    <row r="670" spans="46:48">
      <c r="AT670" s="51"/>
      <c r="AV670" s="51"/>
    </row>
    <row r="671" spans="46:48">
      <c r="AT671" s="51"/>
      <c r="AV671" s="51"/>
    </row>
    <row r="672" spans="46:48">
      <c r="AT672" s="51"/>
      <c r="AV672" s="51"/>
    </row>
    <row r="673" spans="46:48">
      <c r="AT673" s="51"/>
      <c r="AV673" s="51"/>
    </row>
    <row r="674" spans="46:48">
      <c r="AT674" s="51"/>
      <c r="AV674" s="51"/>
    </row>
    <row r="675" spans="46:48">
      <c r="AT675" s="51"/>
      <c r="AV675" s="51"/>
    </row>
    <row r="676" spans="46:48">
      <c r="AT676" s="51"/>
      <c r="AV676" s="51"/>
    </row>
    <row r="677" spans="46:48">
      <c r="AT677" s="51"/>
      <c r="AV677" s="51"/>
    </row>
    <row r="678" spans="46:48">
      <c r="AT678" s="51"/>
      <c r="AV678" s="51"/>
    </row>
    <row r="679" spans="46:48">
      <c r="AT679" s="51"/>
      <c r="AV679" s="51"/>
    </row>
    <row r="680" spans="46:48">
      <c r="AT680" s="51"/>
      <c r="AV680" s="51"/>
    </row>
    <row r="681" spans="46:48">
      <c r="AT681" s="51"/>
      <c r="AV681" s="51"/>
    </row>
    <row r="682" spans="46:48">
      <c r="AT682" s="51"/>
      <c r="AV682" s="51"/>
    </row>
    <row r="683" spans="46:48">
      <c r="AT683" s="51"/>
      <c r="AV683" s="51"/>
    </row>
    <row r="684" spans="46:48">
      <c r="AT684" s="51"/>
      <c r="AV684" s="51"/>
    </row>
    <row r="685" spans="46:48">
      <c r="AT685" s="51"/>
      <c r="AV685" s="51"/>
    </row>
    <row r="686" spans="46:48">
      <c r="AT686" s="51"/>
      <c r="AV686" s="51"/>
    </row>
    <row r="687" spans="46:48">
      <c r="AT687" s="51"/>
      <c r="AV687" s="51"/>
    </row>
    <row r="688" spans="46:48">
      <c r="AT688" s="51"/>
      <c r="AV688" s="51"/>
    </row>
    <row r="689" spans="46:48">
      <c r="AT689" s="51"/>
      <c r="AV689" s="51"/>
    </row>
    <row r="690" spans="46:48">
      <c r="AT690" s="51"/>
      <c r="AV690" s="51"/>
    </row>
    <row r="691" spans="46:48">
      <c r="AT691" s="51"/>
      <c r="AV691" s="51"/>
    </row>
    <row r="692" spans="46:48">
      <c r="AT692" s="51"/>
      <c r="AV692" s="51"/>
    </row>
    <row r="693" spans="46:48">
      <c r="AT693" s="51"/>
      <c r="AV693" s="51"/>
    </row>
    <row r="694" spans="46:48">
      <c r="AT694" s="51"/>
      <c r="AV694" s="51"/>
    </row>
    <row r="695" spans="46:48">
      <c r="AT695" s="51"/>
      <c r="AV695" s="51"/>
    </row>
    <row r="696" spans="46:48">
      <c r="AT696" s="51"/>
      <c r="AV696" s="51"/>
    </row>
    <row r="697" spans="46:48">
      <c r="AT697" s="51"/>
      <c r="AV697" s="51"/>
    </row>
    <row r="698" spans="46:48">
      <c r="AT698" s="51"/>
      <c r="AV698" s="51"/>
    </row>
    <row r="699" spans="46:48">
      <c r="AT699" s="51"/>
      <c r="AV699" s="51"/>
    </row>
    <row r="700" spans="46:48">
      <c r="AT700" s="51"/>
      <c r="AV700" s="51"/>
    </row>
    <row r="701" spans="46:48">
      <c r="AT701" s="51"/>
      <c r="AV701" s="51"/>
    </row>
    <row r="702" spans="46:48">
      <c r="AT702" s="51"/>
      <c r="AV702" s="51"/>
    </row>
    <row r="703" spans="46:48">
      <c r="AT703" s="51"/>
      <c r="AV703" s="51"/>
    </row>
    <row r="704" spans="46:48">
      <c r="AT704" s="51"/>
      <c r="AV704" s="51"/>
    </row>
    <row r="705" spans="46:48">
      <c r="AT705" s="51"/>
      <c r="AV705" s="51"/>
    </row>
    <row r="706" spans="46:48">
      <c r="AT706" s="51"/>
      <c r="AV706" s="51"/>
    </row>
    <row r="707" spans="46:48">
      <c r="AT707" s="51"/>
      <c r="AV707" s="51"/>
    </row>
    <row r="708" spans="46:48">
      <c r="AT708" s="51"/>
      <c r="AV708" s="51"/>
    </row>
    <row r="709" spans="46:48">
      <c r="AT709" s="51"/>
      <c r="AV709" s="51"/>
    </row>
    <row r="710" spans="46:48">
      <c r="AT710" s="51"/>
      <c r="AV710" s="51"/>
    </row>
    <row r="711" spans="46:48">
      <c r="AT711" s="51"/>
      <c r="AV711" s="51"/>
    </row>
    <row r="712" spans="46:48">
      <c r="AT712" s="51"/>
      <c r="AV712" s="51"/>
    </row>
    <row r="713" spans="46:48">
      <c r="AT713" s="51"/>
      <c r="AV713" s="51"/>
    </row>
    <row r="714" spans="46:48">
      <c r="AT714" s="51"/>
      <c r="AV714" s="51"/>
    </row>
    <row r="715" spans="46:48">
      <c r="AT715" s="51"/>
      <c r="AV715" s="51"/>
    </row>
    <row r="716" spans="46:48">
      <c r="AT716" s="51"/>
      <c r="AV716" s="51"/>
    </row>
    <row r="717" spans="46:48">
      <c r="AT717" s="51"/>
      <c r="AV717" s="51"/>
    </row>
    <row r="718" spans="46:48">
      <c r="AT718" s="51"/>
      <c r="AV718" s="51"/>
    </row>
    <row r="719" spans="46:48">
      <c r="AT719" s="51"/>
      <c r="AV719" s="51"/>
    </row>
    <row r="720" spans="46:48">
      <c r="AT720" s="51"/>
      <c r="AV720" s="51"/>
    </row>
    <row r="721" spans="46:48">
      <c r="AT721" s="51"/>
      <c r="AV721" s="51"/>
    </row>
    <row r="722" spans="46:48">
      <c r="AT722" s="51"/>
      <c r="AV722" s="51"/>
    </row>
    <row r="723" spans="46:48">
      <c r="AT723" s="51"/>
      <c r="AV723" s="51"/>
    </row>
    <row r="724" spans="46:48">
      <c r="AT724" s="51"/>
      <c r="AV724" s="51"/>
    </row>
    <row r="725" spans="46:48">
      <c r="AT725" s="51"/>
      <c r="AV725" s="51"/>
    </row>
    <row r="726" spans="46:48">
      <c r="AT726" s="51"/>
      <c r="AV726" s="51"/>
    </row>
    <row r="727" spans="46:48">
      <c r="AT727" s="51"/>
      <c r="AV727" s="51"/>
    </row>
    <row r="728" spans="46:48">
      <c r="AT728" s="51"/>
      <c r="AV728" s="51"/>
    </row>
    <row r="729" spans="46:48">
      <c r="AT729" s="51"/>
      <c r="AV729" s="51"/>
    </row>
    <row r="730" spans="46:48">
      <c r="AT730" s="51"/>
      <c r="AV730" s="51"/>
    </row>
    <row r="731" spans="46:48">
      <c r="AT731" s="51"/>
      <c r="AV731" s="51"/>
    </row>
    <row r="732" spans="46:48">
      <c r="AT732" s="51"/>
      <c r="AV732" s="51"/>
    </row>
    <row r="733" spans="46:48">
      <c r="AT733" s="51"/>
      <c r="AV733" s="51"/>
    </row>
    <row r="734" spans="46:48">
      <c r="AT734" s="51"/>
      <c r="AV734" s="51"/>
    </row>
    <row r="735" spans="46:48">
      <c r="AT735" s="51"/>
      <c r="AV735" s="51"/>
    </row>
    <row r="736" spans="46:48">
      <c r="AT736" s="51"/>
      <c r="AV736" s="51"/>
    </row>
    <row r="737" spans="46:48">
      <c r="AT737" s="51"/>
      <c r="AV737" s="51"/>
    </row>
    <row r="738" spans="46:48">
      <c r="AT738" s="51"/>
      <c r="AV738" s="51"/>
    </row>
    <row r="739" spans="46:48">
      <c r="AT739" s="51"/>
      <c r="AV739" s="51"/>
    </row>
    <row r="740" spans="46:48">
      <c r="AT740" s="51"/>
      <c r="AV740" s="51"/>
    </row>
    <row r="741" spans="46:48">
      <c r="AT741" s="51"/>
      <c r="AV741" s="51"/>
    </row>
    <row r="742" spans="46:48">
      <c r="AT742" s="51"/>
      <c r="AV742" s="51"/>
    </row>
    <row r="743" spans="46:48">
      <c r="AT743" s="51"/>
      <c r="AV743" s="51"/>
    </row>
    <row r="744" spans="46:48">
      <c r="AT744" s="51"/>
      <c r="AV744" s="51"/>
    </row>
    <row r="745" spans="46:48">
      <c r="AT745" s="51"/>
      <c r="AV745" s="51"/>
    </row>
    <row r="746" spans="46:48">
      <c r="AT746" s="51"/>
      <c r="AV746" s="51"/>
    </row>
    <row r="747" spans="46:48">
      <c r="AT747" s="51"/>
      <c r="AV747" s="51"/>
    </row>
    <row r="748" spans="46:48">
      <c r="AT748" s="51"/>
      <c r="AV748" s="51"/>
    </row>
    <row r="749" spans="46:48">
      <c r="AT749" s="51"/>
      <c r="AV749" s="51"/>
    </row>
    <row r="750" spans="46:48">
      <c r="AT750" s="51"/>
      <c r="AV750" s="51"/>
    </row>
    <row r="751" spans="46:48">
      <c r="AT751" s="51"/>
      <c r="AV751" s="51"/>
    </row>
    <row r="752" spans="46:48">
      <c r="AT752" s="51"/>
      <c r="AV752" s="51"/>
    </row>
    <row r="753" spans="46:48">
      <c r="AT753" s="51"/>
      <c r="AV753" s="51"/>
    </row>
    <row r="754" spans="46:48">
      <c r="AT754" s="51"/>
      <c r="AV754" s="51"/>
    </row>
    <row r="755" spans="46:48">
      <c r="AT755" s="51"/>
      <c r="AV755" s="51"/>
    </row>
    <row r="756" spans="46:48">
      <c r="AT756" s="51"/>
      <c r="AV756" s="51"/>
    </row>
    <row r="757" spans="46:48">
      <c r="AT757" s="51"/>
      <c r="AV757" s="51"/>
    </row>
    <row r="758" spans="46:48">
      <c r="AT758" s="51"/>
      <c r="AV758" s="51"/>
    </row>
    <row r="759" spans="46:48">
      <c r="AT759" s="51"/>
      <c r="AV759" s="51"/>
    </row>
    <row r="760" spans="46:48">
      <c r="AT760" s="51"/>
      <c r="AV760" s="51"/>
    </row>
    <row r="761" spans="46:48">
      <c r="AT761" s="51"/>
      <c r="AV761" s="51"/>
    </row>
    <row r="762" spans="46:48">
      <c r="AT762" s="51"/>
      <c r="AV762" s="51"/>
    </row>
    <row r="763" spans="46:48">
      <c r="AT763" s="51"/>
      <c r="AV763" s="51"/>
    </row>
    <row r="764" spans="46:48">
      <c r="AT764" s="51"/>
      <c r="AV764" s="51"/>
    </row>
    <row r="765" spans="46:48">
      <c r="AT765" s="51"/>
      <c r="AV765" s="51"/>
    </row>
    <row r="766" spans="46:48">
      <c r="AT766" s="51"/>
      <c r="AV766" s="51"/>
    </row>
    <row r="767" spans="46:48">
      <c r="AT767" s="51"/>
      <c r="AV767" s="51"/>
    </row>
    <row r="768" spans="46:48">
      <c r="AT768" s="51"/>
      <c r="AV768" s="51"/>
    </row>
    <row r="769" spans="46:48">
      <c r="AT769" s="51"/>
      <c r="AV769" s="51"/>
    </row>
    <row r="770" spans="46:48">
      <c r="AT770" s="51"/>
      <c r="AV770" s="51"/>
    </row>
    <row r="771" spans="46:48">
      <c r="AT771" s="51"/>
      <c r="AV771" s="51"/>
    </row>
    <row r="772" spans="46:48">
      <c r="AT772" s="51"/>
      <c r="AV772" s="51"/>
    </row>
    <row r="773" spans="46:48">
      <c r="AT773" s="51"/>
      <c r="AV773" s="51"/>
    </row>
    <row r="774" spans="46:48">
      <c r="AT774" s="51"/>
      <c r="AV774" s="51"/>
    </row>
    <row r="775" spans="46:48">
      <c r="AT775" s="51"/>
      <c r="AV775" s="51"/>
    </row>
    <row r="776" spans="46:48">
      <c r="AT776" s="51"/>
      <c r="AV776" s="51"/>
    </row>
    <row r="777" spans="46:48">
      <c r="AT777" s="51"/>
      <c r="AV777" s="51"/>
    </row>
    <row r="778" spans="46:48">
      <c r="AT778" s="51"/>
      <c r="AV778" s="51"/>
    </row>
    <row r="779" spans="46:48">
      <c r="AT779" s="51"/>
      <c r="AV779" s="51"/>
    </row>
    <row r="780" spans="46:48">
      <c r="AT780" s="51"/>
      <c r="AV780" s="51"/>
    </row>
    <row r="781" spans="46:48">
      <c r="AT781" s="51"/>
      <c r="AV781" s="51"/>
    </row>
    <row r="782" spans="46:48">
      <c r="AT782" s="51"/>
      <c r="AV782" s="51"/>
    </row>
    <row r="783" spans="46:48">
      <c r="AT783" s="51"/>
      <c r="AV783" s="51"/>
    </row>
    <row r="784" spans="46:48">
      <c r="AT784" s="51"/>
      <c r="AV784" s="51"/>
    </row>
    <row r="785" spans="46:48">
      <c r="AT785" s="51"/>
      <c r="AV785" s="51"/>
    </row>
    <row r="786" spans="46:48">
      <c r="AT786" s="51"/>
      <c r="AV786" s="51"/>
    </row>
    <row r="787" spans="46:48">
      <c r="AT787" s="51"/>
      <c r="AV787" s="51"/>
    </row>
    <row r="788" spans="46:48">
      <c r="AT788" s="51"/>
      <c r="AV788" s="51"/>
    </row>
    <row r="789" spans="46:48">
      <c r="AT789" s="51"/>
      <c r="AV789" s="51"/>
    </row>
    <row r="790" spans="46:48">
      <c r="AT790" s="51"/>
      <c r="AV790" s="51"/>
    </row>
    <row r="791" spans="46:48">
      <c r="AT791" s="51"/>
      <c r="AV791" s="51"/>
    </row>
    <row r="792" spans="46:48">
      <c r="AT792" s="51"/>
      <c r="AV792" s="51"/>
    </row>
    <row r="793" spans="46:48">
      <c r="AT793" s="51"/>
      <c r="AV793" s="51"/>
    </row>
    <row r="794" spans="46:48">
      <c r="AT794" s="51"/>
      <c r="AV794" s="51"/>
    </row>
    <row r="795" spans="46:48">
      <c r="AT795" s="51"/>
      <c r="AV795" s="51"/>
    </row>
    <row r="796" spans="46:48">
      <c r="AT796" s="51"/>
      <c r="AV796" s="51"/>
    </row>
    <row r="797" spans="46:48">
      <c r="AT797" s="51"/>
      <c r="AV797" s="51"/>
    </row>
    <row r="798" spans="46:48">
      <c r="AT798" s="51"/>
      <c r="AV798" s="51"/>
    </row>
    <row r="799" spans="46:48">
      <c r="AT799" s="51"/>
      <c r="AV799" s="51"/>
    </row>
    <row r="800" spans="46:48">
      <c r="AT800" s="51"/>
      <c r="AV800" s="51"/>
    </row>
    <row r="801" spans="46:48">
      <c r="AT801" s="51"/>
      <c r="AV801" s="51"/>
    </row>
    <row r="802" spans="46:48">
      <c r="AT802" s="51"/>
      <c r="AV802" s="51"/>
    </row>
    <row r="803" spans="46:48">
      <c r="AT803" s="51"/>
      <c r="AV803" s="51"/>
    </row>
    <row r="804" spans="46:48">
      <c r="AT804" s="51"/>
      <c r="AV804" s="51"/>
    </row>
    <row r="805" spans="46:48">
      <c r="AT805" s="51"/>
      <c r="AV805" s="51"/>
    </row>
    <row r="806" spans="46:48">
      <c r="AT806" s="51"/>
      <c r="AV806" s="51"/>
    </row>
    <row r="807" spans="46:48">
      <c r="AT807" s="51"/>
      <c r="AV807" s="51"/>
    </row>
    <row r="808" spans="46:48">
      <c r="AT808" s="51"/>
      <c r="AV808" s="51"/>
    </row>
    <row r="809" spans="46:48">
      <c r="AT809" s="51"/>
      <c r="AV809" s="51"/>
    </row>
    <row r="810" spans="46:48">
      <c r="AT810" s="51"/>
      <c r="AV810" s="51"/>
    </row>
    <row r="811" spans="46:48">
      <c r="AT811" s="51"/>
      <c r="AV811" s="51"/>
    </row>
    <row r="812" spans="46:48">
      <c r="AT812" s="51"/>
      <c r="AV812" s="51"/>
    </row>
    <row r="813" spans="46:48">
      <c r="AT813" s="51"/>
      <c r="AV813" s="51"/>
    </row>
    <row r="814" spans="46:48">
      <c r="AT814" s="51"/>
      <c r="AV814" s="51"/>
    </row>
    <row r="815" spans="46:48">
      <c r="AT815" s="51"/>
      <c r="AV815" s="51"/>
    </row>
    <row r="816" spans="46:48">
      <c r="AT816" s="51"/>
      <c r="AV816" s="51"/>
    </row>
    <row r="817" spans="46:48">
      <c r="AT817" s="51"/>
      <c r="AV817" s="51"/>
    </row>
    <row r="818" spans="46:48">
      <c r="AT818" s="51"/>
      <c r="AV818" s="51"/>
    </row>
    <row r="819" spans="46:48">
      <c r="AT819" s="51"/>
      <c r="AV819" s="51"/>
    </row>
    <row r="820" spans="46:48">
      <c r="AT820" s="51"/>
      <c r="AV820" s="51"/>
    </row>
    <row r="821" spans="46:48">
      <c r="AT821" s="51"/>
      <c r="AV821" s="51"/>
    </row>
    <row r="822" spans="46:48">
      <c r="AT822" s="51"/>
      <c r="AV822" s="51"/>
    </row>
    <row r="823" spans="46:48">
      <c r="AT823" s="51"/>
      <c r="AV823" s="51"/>
    </row>
    <row r="824" spans="46:48">
      <c r="AT824" s="51"/>
      <c r="AV824" s="51"/>
    </row>
    <row r="825" spans="46:48">
      <c r="AT825" s="51"/>
      <c r="AV825" s="51"/>
    </row>
    <row r="826" spans="46:48">
      <c r="AT826" s="51"/>
      <c r="AV826" s="51"/>
    </row>
    <row r="827" spans="46:48">
      <c r="AT827" s="51"/>
      <c r="AV827" s="51"/>
    </row>
    <row r="828" spans="46:48">
      <c r="AT828" s="51"/>
      <c r="AV828" s="51"/>
    </row>
    <row r="829" spans="46:48">
      <c r="AT829" s="51"/>
      <c r="AV829" s="51"/>
    </row>
    <row r="830" spans="46:48">
      <c r="AT830" s="51"/>
      <c r="AV830" s="51"/>
    </row>
    <row r="831" spans="46:48">
      <c r="AT831" s="51"/>
      <c r="AV831" s="51"/>
    </row>
    <row r="832" spans="46:48">
      <c r="AT832" s="51"/>
      <c r="AV832" s="51"/>
    </row>
    <row r="833" spans="46:48">
      <c r="AT833" s="51"/>
      <c r="AV833" s="51"/>
    </row>
    <row r="834" spans="46:48">
      <c r="AT834" s="51"/>
      <c r="AV834" s="51"/>
    </row>
    <row r="835" spans="46:48">
      <c r="AT835" s="51"/>
      <c r="AV835" s="51"/>
    </row>
    <row r="836" spans="46:48">
      <c r="AT836" s="51"/>
      <c r="AV836" s="51"/>
    </row>
    <row r="837" spans="46:48">
      <c r="AT837" s="51"/>
      <c r="AV837" s="51"/>
    </row>
    <row r="838" spans="46:48">
      <c r="AT838" s="51"/>
      <c r="AV838" s="51"/>
    </row>
    <row r="839" spans="46:48">
      <c r="AT839" s="51"/>
      <c r="AV839" s="51"/>
    </row>
    <row r="840" spans="46:48">
      <c r="AT840" s="51"/>
      <c r="AV840" s="51"/>
    </row>
    <row r="841" spans="46:48">
      <c r="AT841" s="51"/>
      <c r="AV841" s="51"/>
    </row>
    <row r="842" spans="46:48">
      <c r="AT842" s="51"/>
      <c r="AV842" s="51"/>
    </row>
    <row r="843" spans="46:48">
      <c r="AT843" s="51"/>
      <c r="AV843" s="51"/>
    </row>
    <row r="844" spans="46:48">
      <c r="AT844" s="51"/>
      <c r="AV844" s="51"/>
    </row>
    <row r="845" spans="46:48">
      <c r="AT845" s="51"/>
      <c r="AV845" s="51"/>
    </row>
    <row r="846" spans="46:48">
      <c r="AT846" s="51"/>
      <c r="AV846" s="51"/>
    </row>
    <row r="847" spans="46:48">
      <c r="AT847" s="51"/>
      <c r="AV847" s="51"/>
    </row>
    <row r="848" spans="46:48">
      <c r="AT848" s="51"/>
      <c r="AV848" s="51"/>
    </row>
    <row r="849" spans="46:48">
      <c r="AT849" s="51"/>
      <c r="AV849" s="51"/>
    </row>
    <row r="850" spans="46:48">
      <c r="AT850" s="51"/>
      <c r="AV850" s="51"/>
    </row>
    <row r="851" spans="46:48">
      <c r="AT851" s="51"/>
      <c r="AV851" s="51"/>
    </row>
    <row r="852" spans="46:48">
      <c r="AT852" s="51"/>
      <c r="AV852" s="51"/>
    </row>
    <row r="853" spans="46:48">
      <c r="AT853" s="51"/>
      <c r="AV853" s="51"/>
    </row>
    <row r="854" spans="46:48">
      <c r="AT854" s="51"/>
      <c r="AV854" s="51"/>
    </row>
    <row r="855" spans="46:48">
      <c r="AT855" s="51"/>
      <c r="AV855" s="51"/>
    </row>
    <row r="856" spans="46:48">
      <c r="AT856" s="51"/>
      <c r="AV856" s="51"/>
    </row>
    <row r="857" spans="46:48">
      <c r="AT857" s="51"/>
      <c r="AV857" s="51"/>
    </row>
    <row r="858" spans="46:48">
      <c r="AT858" s="51"/>
      <c r="AV858" s="51"/>
    </row>
    <row r="859" spans="46:48">
      <c r="AT859" s="51"/>
      <c r="AV859" s="51"/>
    </row>
    <row r="860" spans="46:48">
      <c r="AT860" s="51"/>
      <c r="AV860" s="51"/>
    </row>
    <row r="861" spans="46:48">
      <c r="AT861" s="51"/>
      <c r="AV861" s="51"/>
    </row>
    <row r="862" spans="46:48">
      <c r="AT862" s="51"/>
      <c r="AV862" s="51"/>
    </row>
    <row r="863" spans="46:48">
      <c r="AT863" s="51"/>
      <c r="AV863" s="51"/>
    </row>
    <row r="864" spans="46:48">
      <c r="AT864" s="51"/>
      <c r="AV864" s="51"/>
    </row>
    <row r="865" spans="46:48">
      <c r="AT865" s="51"/>
      <c r="AV865" s="51"/>
    </row>
    <row r="866" spans="46:48">
      <c r="AT866" s="51"/>
      <c r="AV866" s="51"/>
    </row>
    <row r="867" spans="46:48">
      <c r="AT867" s="51"/>
      <c r="AV867" s="51"/>
    </row>
    <row r="868" spans="46:48">
      <c r="AT868" s="51"/>
      <c r="AV868" s="51"/>
    </row>
    <row r="869" spans="46:48">
      <c r="AT869" s="51"/>
      <c r="AV869" s="51"/>
    </row>
    <row r="870" spans="46:48">
      <c r="AT870" s="51"/>
      <c r="AV870" s="51"/>
    </row>
    <row r="871" spans="46:48">
      <c r="AT871" s="51"/>
      <c r="AV871" s="51"/>
    </row>
    <row r="872" spans="46:48">
      <c r="AT872" s="51"/>
      <c r="AV872" s="51"/>
    </row>
    <row r="873" spans="46:48">
      <c r="AT873" s="51"/>
      <c r="AV873" s="51"/>
    </row>
    <row r="874" spans="46:48">
      <c r="AT874" s="51"/>
      <c r="AV874" s="51"/>
    </row>
    <row r="875" spans="46:48">
      <c r="AT875" s="51"/>
      <c r="AV875" s="51"/>
    </row>
    <row r="876" spans="46:48">
      <c r="AT876" s="51"/>
      <c r="AV876" s="51"/>
    </row>
    <row r="877" spans="46:48">
      <c r="AT877" s="51"/>
      <c r="AV877" s="51"/>
    </row>
    <row r="878" spans="46:48">
      <c r="AT878" s="51"/>
      <c r="AV878" s="51"/>
    </row>
    <row r="879" spans="46:48">
      <c r="AT879" s="51"/>
      <c r="AV879" s="51"/>
    </row>
    <row r="880" spans="46:48">
      <c r="AT880" s="51"/>
      <c r="AV880" s="51"/>
    </row>
    <row r="881" spans="46:48">
      <c r="AT881" s="51"/>
      <c r="AV881" s="51"/>
    </row>
    <row r="882" spans="46:48">
      <c r="AT882" s="51"/>
      <c r="AV882" s="51"/>
    </row>
    <row r="883" spans="46:48">
      <c r="AT883" s="51"/>
      <c r="AV883" s="51"/>
    </row>
    <row r="884" spans="46:48">
      <c r="AT884" s="51"/>
      <c r="AV884" s="51"/>
    </row>
    <row r="885" spans="46:48">
      <c r="AT885" s="51"/>
      <c r="AV885" s="51"/>
    </row>
    <row r="886" spans="46:48">
      <c r="AT886" s="51"/>
      <c r="AV886" s="51"/>
    </row>
    <row r="887" spans="46:48">
      <c r="AT887" s="51"/>
      <c r="AV887" s="51"/>
    </row>
    <row r="888" spans="46:48">
      <c r="AT888" s="51"/>
      <c r="AV888" s="51"/>
    </row>
    <row r="889" spans="46:48">
      <c r="AT889" s="51"/>
      <c r="AV889" s="51"/>
    </row>
    <row r="890" spans="46:48">
      <c r="AT890" s="51"/>
      <c r="AV890" s="51"/>
    </row>
    <row r="891" spans="46:48">
      <c r="AT891" s="51"/>
      <c r="AV891" s="51"/>
    </row>
    <row r="892" spans="46:48">
      <c r="AT892" s="51"/>
      <c r="AV892" s="51"/>
    </row>
    <row r="893" spans="46:48">
      <c r="AT893" s="51"/>
      <c r="AV893" s="51"/>
    </row>
    <row r="894" spans="46:48">
      <c r="AT894" s="51"/>
      <c r="AV894" s="51"/>
    </row>
    <row r="895" spans="46:48">
      <c r="AT895" s="51"/>
      <c r="AV895" s="51"/>
    </row>
    <row r="896" spans="46:48">
      <c r="AT896" s="51"/>
      <c r="AV896" s="51"/>
    </row>
    <row r="897" spans="46:48">
      <c r="AT897" s="51"/>
      <c r="AV897" s="51"/>
    </row>
    <row r="898" spans="46:48">
      <c r="AT898" s="51"/>
      <c r="AV898" s="51"/>
    </row>
    <row r="899" spans="46:48">
      <c r="AT899" s="51"/>
      <c r="AV899" s="51"/>
    </row>
    <row r="900" spans="46:48">
      <c r="AT900" s="51"/>
      <c r="AV900" s="51"/>
    </row>
    <row r="901" spans="46:48">
      <c r="AT901" s="51"/>
      <c r="AV901" s="51"/>
    </row>
    <row r="902" spans="46:48">
      <c r="AT902" s="51"/>
      <c r="AV902" s="51"/>
    </row>
    <row r="903" spans="46:48">
      <c r="AT903" s="51"/>
      <c r="AV903" s="51"/>
    </row>
    <row r="904" spans="46:48">
      <c r="AT904" s="51"/>
      <c r="AV904" s="51"/>
    </row>
    <row r="905" spans="46:48">
      <c r="AT905" s="51"/>
      <c r="AV905" s="51"/>
    </row>
    <row r="906" spans="46:48">
      <c r="AT906" s="51"/>
      <c r="AV906" s="51"/>
    </row>
    <row r="907" spans="46:48">
      <c r="AT907" s="51"/>
      <c r="AV907" s="51"/>
    </row>
    <row r="908" spans="46:48">
      <c r="AT908" s="51"/>
      <c r="AV908" s="51"/>
    </row>
    <row r="909" spans="46:48">
      <c r="AT909" s="51"/>
      <c r="AV909" s="51"/>
    </row>
    <row r="910" spans="46:48">
      <c r="AT910" s="51"/>
      <c r="AV910" s="51"/>
    </row>
    <row r="911" spans="46:48">
      <c r="AT911" s="51"/>
      <c r="AV911" s="51"/>
    </row>
    <row r="912" spans="46:48">
      <c r="AT912" s="51"/>
      <c r="AV912" s="51"/>
    </row>
    <row r="913" spans="46:48">
      <c r="AT913" s="51"/>
      <c r="AV913" s="51"/>
    </row>
    <row r="914" spans="46:48">
      <c r="AT914" s="51"/>
      <c r="AV914" s="51"/>
    </row>
    <row r="915" spans="46:48">
      <c r="AT915" s="51"/>
      <c r="AV915" s="51"/>
    </row>
    <row r="916" spans="46:48">
      <c r="AT916" s="51"/>
      <c r="AV916" s="51"/>
    </row>
    <row r="917" spans="46:48">
      <c r="AT917" s="51"/>
      <c r="AV917" s="51"/>
    </row>
    <row r="918" spans="46:48">
      <c r="AT918" s="51"/>
      <c r="AV918" s="51"/>
    </row>
    <row r="919" spans="46:48">
      <c r="AT919" s="51"/>
      <c r="AV919" s="51"/>
    </row>
    <row r="920" spans="46:48">
      <c r="AT920" s="51"/>
      <c r="AV920" s="51"/>
    </row>
    <row r="921" spans="46:48">
      <c r="AT921" s="51"/>
      <c r="AV921" s="51"/>
    </row>
    <row r="922" spans="46:48">
      <c r="AT922" s="51"/>
      <c r="AV922" s="51"/>
    </row>
    <row r="923" spans="46:48">
      <c r="AT923" s="51"/>
      <c r="AV923" s="51"/>
    </row>
    <row r="924" spans="46:48">
      <c r="AT924" s="51"/>
      <c r="AV924" s="51"/>
    </row>
    <row r="925" spans="46:48">
      <c r="AT925" s="51"/>
      <c r="AV925" s="51"/>
    </row>
    <row r="926" spans="46:48">
      <c r="AT926" s="51"/>
      <c r="AV926" s="51"/>
    </row>
    <row r="927" spans="46:48">
      <c r="AT927" s="51"/>
      <c r="AV927" s="51"/>
    </row>
    <row r="928" spans="46:48">
      <c r="AT928" s="51"/>
      <c r="AV928" s="51"/>
    </row>
    <row r="929" spans="46:48">
      <c r="AT929" s="51"/>
      <c r="AV929" s="51"/>
    </row>
    <row r="930" spans="46:48">
      <c r="AT930" s="51"/>
      <c r="AV930" s="51"/>
    </row>
    <row r="931" spans="46:48">
      <c r="AT931" s="51"/>
      <c r="AV931" s="51"/>
    </row>
    <row r="932" spans="46:48">
      <c r="AT932" s="51"/>
      <c r="AV932" s="51"/>
    </row>
    <row r="933" spans="46:48">
      <c r="AT933" s="51"/>
      <c r="AV933" s="51"/>
    </row>
    <row r="934" spans="46:48">
      <c r="AT934" s="51"/>
      <c r="AV934" s="51"/>
    </row>
    <row r="935" spans="46:48">
      <c r="AT935" s="51"/>
      <c r="AV935" s="51"/>
    </row>
    <row r="936" spans="46:48">
      <c r="AT936" s="51"/>
      <c r="AV936" s="51"/>
    </row>
    <row r="937" spans="46:48">
      <c r="AT937" s="51"/>
      <c r="AV937" s="51"/>
    </row>
    <row r="938" spans="46:48">
      <c r="AT938" s="51"/>
      <c r="AV938" s="51"/>
    </row>
    <row r="939" spans="46:48">
      <c r="AT939" s="51"/>
      <c r="AV939" s="51"/>
    </row>
    <row r="940" spans="46:48">
      <c r="AT940" s="51"/>
      <c r="AV940" s="51"/>
    </row>
    <row r="941" spans="46:48">
      <c r="AT941" s="51"/>
      <c r="AV941" s="51"/>
    </row>
    <row r="942" spans="46:48">
      <c r="AT942" s="51"/>
      <c r="AV942" s="51"/>
    </row>
    <row r="943" spans="46:48">
      <c r="AT943" s="51"/>
      <c r="AV943" s="51"/>
    </row>
    <row r="944" spans="46:48">
      <c r="AT944" s="51"/>
      <c r="AV944" s="51"/>
    </row>
    <row r="945" spans="46:48">
      <c r="AT945" s="51"/>
      <c r="AV945" s="51"/>
    </row>
    <row r="946" spans="46:48">
      <c r="AT946" s="51"/>
      <c r="AV946" s="51"/>
    </row>
    <row r="947" spans="46:48">
      <c r="AT947" s="51"/>
      <c r="AV947" s="51"/>
    </row>
    <row r="948" spans="46:48">
      <c r="AT948" s="51"/>
      <c r="AV948" s="51"/>
    </row>
    <row r="949" spans="46:48">
      <c r="AT949" s="51"/>
      <c r="AV949" s="51"/>
    </row>
    <row r="950" spans="46:48">
      <c r="AT950" s="51"/>
      <c r="AV950" s="51"/>
    </row>
    <row r="951" spans="46:48">
      <c r="AT951" s="51"/>
      <c r="AV951" s="51"/>
    </row>
    <row r="952" spans="46:48">
      <c r="AT952" s="51"/>
      <c r="AV952" s="51"/>
    </row>
    <row r="953" spans="46:48">
      <c r="AT953" s="51"/>
      <c r="AV953" s="51"/>
    </row>
    <row r="954" spans="46:48">
      <c r="AT954" s="51"/>
      <c r="AV954" s="51"/>
    </row>
    <row r="955" spans="46:48">
      <c r="AT955" s="51"/>
      <c r="AV955" s="51"/>
    </row>
    <row r="956" spans="46:48">
      <c r="AT956" s="51"/>
      <c r="AV956" s="51"/>
    </row>
    <row r="957" spans="46:48">
      <c r="AT957" s="51"/>
      <c r="AV957" s="51"/>
    </row>
    <row r="958" spans="46:48">
      <c r="AT958" s="51"/>
      <c r="AV958" s="51"/>
    </row>
    <row r="959" spans="46:48">
      <c r="AT959" s="51"/>
      <c r="AV959" s="51"/>
    </row>
    <row r="960" spans="46:48">
      <c r="AT960" s="51"/>
      <c r="AV960" s="51"/>
    </row>
    <row r="961" spans="46:48">
      <c r="AT961" s="51"/>
      <c r="AV961" s="51"/>
    </row>
    <row r="962" spans="46:48">
      <c r="AT962" s="51"/>
      <c r="AV962" s="51"/>
    </row>
    <row r="963" spans="46:48">
      <c r="AT963" s="51"/>
      <c r="AV963" s="51"/>
    </row>
    <row r="964" spans="46:48">
      <c r="AT964" s="51"/>
      <c r="AV964" s="51"/>
    </row>
    <row r="965" spans="46:48">
      <c r="AT965" s="51"/>
      <c r="AV965" s="51"/>
    </row>
    <row r="966" spans="46:48">
      <c r="AT966" s="51"/>
      <c r="AV966" s="51"/>
    </row>
    <row r="967" spans="46:48">
      <c r="AT967" s="51"/>
      <c r="AV967" s="51"/>
    </row>
    <row r="968" spans="46:48">
      <c r="AT968" s="51"/>
      <c r="AV968" s="51"/>
    </row>
    <row r="969" spans="46:48">
      <c r="AT969" s="51"/>
      <c r="AV969" s="51"/>
    </row>
    <row r="970" spans="46:48">
      <c r="AT970" s="51"/>
      <c r="AV970" s="51"/>
    </row>
    <row r="971" spans="46:48">
      <c r="AT971" s="51"/>
      <c r="AV971" s="51"/>
    </row>
    <row r="972" spans="46:48">
      <c r="AT972" s="51"/>
      <c r="AV972" s="51"/>
    </row>
    <row r="973" spans="46:48">
      <c r="AT973" s="51"/>
      <c r="AV973" s="51"/>
    </row>
    <row r="974" spans="46:48">
      <c r="AT974" s="51"/>
      <c r="AV974" s="51"/>
    </row>
    <row r="975" spans="46:48">
      <c r="AT975" s="51"/>
      <c r="AV975" s="51"/>
    </row>
    <row r="976" spans="46:48">
      <c r="AT976" s="51"/>
      <c r="AV976" s="51"/>
    </row>
    <row r="977" spans="46:48">
      <c r="AT977" s="51"/>
      <c r="AV977" s="51"/>
    </row>
    <row r="978" spans="46:48">
      <c r="AT978" s="51"/>
      <c r="AV978" s="51"/>
    </row>
    <row r="979" spans="46:48">
      <c r="AT979" s="51"/>
      <c r="AV979" s="51"/>
    </row>
    <row r="980" spans="46:48">
      <c r="AT980" s="51"/>
      <c r="AV980" s="51"/>
    </row>
    <row r="981" spans="46:48">
      <c r="AT981" s="51"/>
      <c r="AV981" s="51"/>
    </row>
    <row r="982" spans="46:48">
      <c r="AT982" s="51"/>
      <c r="AV982" s="51"/>
    </row>
    <row r="983" spans="46:48">
      <c r="AT983" s="51"/>
      <c r="AV983" s="51"/>
    </row>
    <row r="984" spans="46:48">
      <c r="AT984" s="51"/>
      <c r="AV984" s="51"/>
    </row>
    <row r="985" spans="46:48">
      <c r="AT985" s="51"/>
      <c r="AV985" s="51"/>
    </row>
    <row r="986" spans="46:48">
      <c r="AT986" s="51"/>
      <c r="AV986" s="51"/>
    </row>
    <row r="987" spans="46:48">
      <c r="AT987" s="51"/>
      <c r="AV987" s="51"/>
    </row>
    <row r="988" spans="46:48">
      <c r="AT988" s="51"/>
      <c r="AV988" s="51"/>
    </row>
    <row r="989" spans="46:48">
      <c r="AT989" s="51"/>
      <c r="AV989" s="51"/>
    </row>
    <row r="990" spans="46:48">
      <c r="AT990" s="51"/>
      <c r="AV990" s="51"/>
    </row>
    <row r="991" spans="46:48">
      <c r="AT991" s="51"/>
      <c r="AV991" s="51"/>
    </row>
    <row r="992" spans="46:48">
      <c r="AT992" s="51"/>
      <c r="AV992" s="51"/>
    </row>
    <row r="993" spans="46:48">
      <c r="AT993" s="51"/>
      <c r="AV993" s="51"/>
    </row>
    <row r="994" spans="46:48">
      <c r="AT994" s="51"/>
      <c r="AV994" s="51"/>
    </row>
    <row r="995" spans="46:48">
      <c r="AT995" s="51"/>
      <c r="AV995" s="51"/>
    </row>
    <row r="996" spans="46:48">
      <c r="AT996" s="51"/>
      <c r="AV996" s="51"/>
    </row>
    <row r="997" spans="46:48">
      <c r="AT997" s="51"/>
      <c r="AV997" s="51"/>
    </row>
    <row r="998" spans="46:48">
      <c r="AT998" s="51"/>
      <c r="AV998" s="51"/>
    </row>
    <row r="999" spans="46:48">
      <c r="AT999" s="51"/>
      <c r="AV999" s="51"/>
    </row>
    <row r="1000" spans="46:48">
      <c r="AT1000" s="51"/>
      <c r="AV1000" s="51"/>
    </row>
    <row r="1001" spans="46:48">
      <c r="AT1001" s="51"/>
      <c r="AV1001" s="51"/>
    </row>
    <row r="1002" spans="46:48">
      <c r="AT1002" s="51"/>
      <c r="AV1002" s="51"/>
    </row>
    <row r="1003" spans="46:48">
      <c r="AT1003" s="51"/>
      <c r="AV1003" s="51"/>
    </row>
    <row r="1004" spans="46:48">
      <c r="AT1004" s="51"/>
      <c r="AV1004" s="51"/>
    </row>
    <row r="1005" spans="46:48">
      <c r="AT1005" s="51"/>
      <c r="AV1005" s="51"/>
    </row>
    <row r="1006" spans="46:48">
      <c r="AT1006" s="51"/>
      <c r="AV1006" s="51"/>
    </row>
    <row r="1007" spans="46:48">
      <c r="AT1007" s="51"/>
      <c r="AV1007" s="51"/>
    </row>
    <row r="1008" spans="46:48">
      <c r="AT1008" s="51"/>
      <c r="AV1008" s="51"/>
    </row>
    <row r="1009" spans="46:48">
      <c r="AT1009" s="51"/>
      <c r="AV1009" s="51"/>
    </row>
    <row r="1010" spans="46:48">
      <c r="AT1010" s="51"/>
      <c r="AV1010" s="51"/>
    </row>
    <row r="1011" spans="46:48">
      <c r="AT1011" s="51"/>
      <c r="AV1011" s="51"/>
    </row>
    <row r="1012" spans="46:48">
      <c r="AT1012" s="51"/>
      <c r="AV1012" s="51"/>
    </row>
    <row r="1013" spans="46:48">
      <c r="AT1013" s="51"/>
      <c r="AV1013" s="51"/>
    </row>
    <row r="1014" spans="46:48">
      <c r="AT1014" s="51"/>
      <c r="AV1014" s="51"/>
    </row>
    <row r="1015" spans="46:48">
      <c r="AT1015" s="51"/>
      <c r="AV1015" s="51"/>
    </row>
    <row r="1016" spans="46:48">
      <c r="AT1016" s="51"/>
      <c r="AV1016" s="51"/>
    </row>
    <row r="1017" spans="46:48">
      <c r="AT1017" s="51"/>
      <c r="AV1017" s="51"/>
    </row>
    <row r="1018" spans="46:48">
      <c r="AT1018" s="51"/>
      <c r="AV1018" s="51"/>
    </row>
    <row r="1019" spans="46:48">
      <c r="AT1019" s="51"/>
      <c r="AV1019" s="51"/>
    </row>
    <row r="1020" spans="46:48">
      <c r="AT1020" s="51"/>
      <c r="AV1020" s="51"/>
    </row>
    <row r="1021" spans="46:48">
      <c r="AT1021" s="51"/>
      <c r="AV1021" s="51"/>
    </row>
    <row r="1022" spans="46:48">
      <c r="AT1022" s="51"/>
      <c r="AV1022" s="51"/>
    </row>
    <row r="1023" spans="46:48">
      <c r="AT1023" s="51"/>
      <c r="AV1023" s="51"/>
    </row>
    <row r="1024" spans="46:48">
      <c r="AT1024" s="51"/>
      <c r="AV1024" s="51"/>
    </row>
    <row r="1025" spans="46:48">
      <c r="AT1025" s="51"/>
      <c r="AV1025" s="51"/>
    </row>
    <row r="1026" spans="46:48">
      <c r="AT1026" s="51"/>
      <c r="AV1026" s="51"/>
    </row>
    <row r="1027" spans="46:48">
      <c r="AT1027" s="51"/>
      <c r="AV1027" s="51"/>
    </row>
    <row r="1028" spans="46:48">
      <c r="AT1028" s="51"/>
      <c r="AV1028" s="51"/>
    </row>
    <row r="1029" spans="46:48">
      <c r="AT1029" s="51"/>
      <c r="AV1029" s="51"/>
    </row>
    <row r="1030" spans="46:48">
      <c r="AT1030" s="51"/>
      <c r="AV1030" s="51"/>
    </row>
    <row r="1031" spans="46:48">
      <c r="AT1031" s="51"/>
      <c r="AV1031" s="51"/>
    </row>
    <row r="1032" spans="46:48">
      <c r="AT1032" s="51"/>
      <c r="AV1032" s="51"/>
    </row>
    <row r="1033" spans="46:48">
      <c r="AT1033" s="51"/>
      <c r="AV1033" s="51"/>
    </row>
    <row r="1034" spans="46:48">
      <c r="AT1034" s="51"/>
      <c r="AV1034" s="51"/>
    </row>
    <row r="1035" spans="46:48">
      <c r="AT1035" s="51"/>
      <c r="AV1035" s="51"/>
    </row>
    <row r="1036" spans="46:48">
      <c r="AT1036" s="51"/>
      <c r="AV1036" s="51"/>
    </row>
    <row r="1037" spans="46:48">
      <c r="AT1037" s="51"/>
      <c r="AV1037" s="51"/>
    </row>
    <row r="1038" spans="46:48">
      <c r="AT1038" s="51"/>
      <c r="AV1038" s="51"/>
    </row>
    <row r="1039" spans="46:48">
      <c r="AT1039" s="51"/>
      <c r="AV1039" s="51"/>
    </row>
    <row r="1040" spans="46:48">
      <c r="AT1040" s="51"/>
      <c r="AV1040" s="51"/>
    </row>
    <row r="1041" spans="46:48">
      <c r="AT1041" s="51"/>
      <c r="AV1041" s="51"/>
    </row>
    <row r="1042" spans="46:48">
      <c r="AT1042" s="51"/>
      <c r="AV1042" s="51"/>
    </row>
    <row r="1043" spans="46:48">
      <c r="AT1043" s="51"/>
      <c r="AV1043" s="51"/>
    </row>
    <row r="1044" spans="46:48">
      <c r="AT1044" s="51"/>
      <c r="AV1044" s="51"/>
    </row>
    <row r="1045" spans="46:48">
      <c r="AT1045" s="51"/>
      <c r="AV1045" s="51"/>
    </row>
    <row r="1046" spans="46:48">
      <c r="AT1046" s="51"/>
      <c r="AV1046" s="51"/>
    </row>
    <row r="1047" spans="46:48">
      <c r="AT1047" s="51"/>
      <c r="AV1047" s="51"/>
    </row>
    <row r="1048" spans="46:48">
      <c r="AT1048" s="51"/>
      <c r="AV1048" s="51"/>
    </row>
    <row r="1049" spans="46:48">
      <c r="AT1049" s="51"/>
      <c r="AV1049" s="51"/>
    </row>
    <row r="1050" spans="46:48">
      <c r="AT1050" s="51"/>
      <c r="AV1050" s="51"/>
    </row>
    <row r="1051" spans="46:48">
      <c r="AT1051" s="51"/>
      <c r="AV1051" s="51"/>
    </row>
    <row r="1052" spans="46:48">
      <c r="AT1052" s="51"/>
      <c r="AV1052" s="51"/>
    </row>
    <row r="1053" spans="46:48">
      <c r="AT1053" s="51"/>
      <c r="AV1053" s="51"/>
    </row>
    <row r="1054" spans="46:48">
      <c r="AT1054" s="51"/>
      <c r="AV1054" s="51"/>
    </row>
    <row r="1055" spans="46:48">
      <c r="AT1055" s="51"/>
      <c r="AV1055" s="51"/>
    </row>
    <row r="1056" spans="46:48">
      <c r="AT1056" s="51"/>
      <c r="AV1056" s="51"/>
    </row>
    <row r="1057" spans="46:48">
      <c r="AT1057" s="51"/>
      <c r="AV1057" s="51"/>
    </row>
    <row r="1058" spans="46:48">
      <c r="AT1058" s="51"/>
      <c r="AV1058" s="51"/>
    </row>
    <row r="1059" spans="46:48">
      <c r="AT1059" s="51"/>
      <c r="AV1059" s="51"/>
    </row>
    <row r="1060" spans="46:48">
      <c r="AT1060" s="51"/>
      <c r="AV1060" s="51"/>
    </row>
    <row r="1061" spans="46:48">
      <c r="AT1061" s="51"/>
      <c r="AV1061" s="51"/>
    </row>
    <row r="1062" spans="46:48">
      <c r="AT1062" s="51"/>
      <c r="AV1062" s="51"/>
    </row>
    <row r="1063" spans="46:48">
      <c r="AT1063" s="51"/>
      <c r="AV1063" s="51"/>
    </row>
    <row r="1064" spans="46:48">
      <c r="AT1064" s="51"/>
      <c r="AV1064" s="51"/>
    </row>
    <row r="1065" spans="46:48">
      <c r="AT1065" s="51"/>
      <c r="AV1065" s="51"/>
    </row>
    <row r="1066" spans="46:48">
      <c r="AT1066" s="51"/>
      <c r="AV1066" s="51"/>
    </row>
    <row r="1067" spans="46:48">
      <c r="AT1067" s="51"/>
      <c r="AV1067" s="51"/>
    </row>
    <row r="1068" spans="46:48">
      <c r="AT1068" s="51"/>
      <c r="AV1068" s="51"/>
    </row>
    <row r="1069" spans="46:48">
      <c r="AT1069" s="51"/>
      <c r="AV1069" s="51"/>
    </row>
    <row r="1070" spans="46:48">
      <c r="AT1070" s="51"/>
      <c r="AV1070" s="51"/>
    </row>
    <row r="1071" spans="46:48">
      <c r="AT1071" s="51"/>
      <c r="AV1071" s="51"/>
    </row>
    <row r="1072" spans="46:48">
      <c r="AT1072" s="51"/>
      <c r="AV1072" s="51"/>
    </row>
    <row r="1073" spans="46:48">
      <c r="AT1073" s="51"/>
      <c r="AV1073" s="51"/>
    </row>
    <row r="1074" spans="46:48">
      <c r="AT1074" s="51"/>
      <c r="AV1074" s="51"/>
    </row>
    <row r="1075" spans="46:48">
      <c r="AT1075" s="51"/>
      <c r="AV1075" s="51"/>
    </row>
    <row r="1076" spans="46:48">
      <c r="AT1076" s="51"/>
      <c r="AV1076" s="51"/>
    </row>
    <row r="1077" spans="46:48">
      <c r="AT1077" s="51"/>
      <c r="AV1077" s="51"/>
    </row>
    <row r="1078" spans="46:48">
      <c r="AT1078" s="51"/>
      <c r="AV1078" s="51"/>
    </row>
    <row r="1079" spans="46:48">
      <c r="AT1079" s="51"/>
      <c r="AV1079" s="51"/>
    </row>
    <row r="1080" spans="46:48">
      <c r="AT1080" s="51"/>
      <c r="AV1080" s="51"/>
    </row>
    <row r="1081" spans="46:48">
      <c r="AT1081" s="51"/>
      <c r="AV1081" s="51"/>
    </row>
    <row r="1082" spans="46:48">
      <c r="AT1082" s="51"/>
      <c r="AV1082" s="51"/>
    </row>
    <row r="1083" spans="46:48">
      <c r="AT1083" s="51"/>
      <c r="AV1083" s="51"/>
    </row>
    <row r="1084" spans="46:48">
      <c r="AT1084" s="51"/>
      <c r="AV1084" s="51"/>
    </row>
    <row r="1085" spans="46:48">
      <c r="AT1085" s="51"/>
      <c r="AV1085" s="51"/>
    </row>
    <row r="1086" spans="46:48">
      <c r="AT1086" s="51"/>
      <c r="AV1086" s="51"/>
    </row>
    <row r="1087" spans="46:48">
      <c r="AT1087" s="51"/>
      <c r="AV1087" s="51"/>
    </row>
    <row r="1088" spans="46:48">
      <c r="AT1088" s="51"/>
      <c r="AV1088" s="51"/>
    </row>
    <row r="1089" spans="46:48">
      <c r="AT1089" s="51"/>
      <c r="AV1089" s="51"/>
    </row>
    <row r="1090" spans="46:48">
      <c r="AT1090" s="51"/>
      <c r="AV1090" s="51"/>
    </row>
    <row r="1091" spans="46:48">
      <c r="AT1091" s="51"/>
      <c r="AV1091" s="51"/>
    </row>
    <row r="1092" spans="46:48">
      <c r="AT1092" s="51"/>
      <c r="AV1092" s="51"/>
    </row>
    <row r="1093" spans="46:48">
      <c r="AT1093" s="51"/>
      <c r="AV1093" s="51"/>
    </row>
    <row r="1094" spans="46:48">
      <c r="AT1094" s="51"/>
      <c r="AV1094" s="51"/>
    </row>
    <row r="1095" spans="46:48">
      <c r="AT1095" s="51"/>
      <c r="AV1095" s="51"/>
    </row>
    <row r="1096" spans="46:48">
      <c r="AT1096" s="51"/>
      <c r="AV1096" s="51"/>
    </row>
    <row r="1097" spans="46:48">
      <c r="AT1097" s="51"/>
      <c r="AV1097" s="51"/>
    </row>
    <row r="1098" spans="46:48">
      <c r="AT1098" s="51"/>
      <c r="AV1098" s="51"/>
    </row>
    <row r="1099" spans="46:48">
      <c r="AT1099" s="51"/>
      <c r="AV1099" s="51"/>
    </row>
    <row r="1100" spans="46:48">
      <c r="AT1100" s="51"/>
      <c r="AV1100" s="51"/>
    </row>
    <row r="1101" spans="46:48">
      <c r="AT1101" s="51"/>
      <c r="AV1101" s="51"/>
    </row>
    <row r="1102" spans="46:48">
      <c r="AT1102" s="51"/>
      <c r="AV1102" s="51"/>
    </row>
    <row r="1103" spans="46:48">
      <c r="AT1103" s="51"/>
      <c r="AV1103" s="51"/>
    </row>
    <row r="1104" spans="46:48">
      <c r="AT1104" s="51"/>
      <c r="AV1104" s="51"/>
    </row>
    <row r="1105" spans="46:48">
      <c r="AT1105" s="51"/>
      <c r="AV1105" s="51"/>
    </row>
    <row r="1106" spans="46:48">
      <c r="AT1106" s="51"/>
      <c r="AV1106" s="51"/>
    </row>
    <row r="1107" spans="46:48">
      <c r="AT1107" s="51"/>
      <c r="AV1107" s="51"/>
    </row>
    <row r="1108" spans="46:48">
      <c r="AT1108" s="51"/>
      <c r="AV1108" s="51"/>
    </row>
    <row r="1109" spans="46:48">
      <c r="AT1109" s="51"/>
      <c r="AV1109" s="51"/>
    </row>
    <row r="1110" spans="46:48">
      <c r="AT1110" s="51"/>
      <c r="AV1110" s="51"/>
    </row>
    <row r="1111" spans="46:48">
      <c r="AT1111" s="51"/>
      <c r="AV1111" s="51"/>
    </row>
    <row r="1112" spans="46:48">
      <c r="AT1112" s="51"/>
      <c r="AV1112" s="51"/>
    </row>
    <row r="1113" spans="46:48">
      <c r="AT1113" s="51"/>
      <c r="AV1113" s="51"/>
    </row>
    <row r="1114" spans="46:48">
      <c r="AT1114" s="51"/>
      <c r="AV1114" s="51"/>
    </row>
    <row r="1115" spans="46:48">
      <c r="AT1115" s="51"/>
      <c r="AV1115" s="51"/>
    </row>
    <row r="1116" spans="46:48">
      <c r="AT1116" s="51"/>
      <c r="AV1116" s="51"/>
    </row>
    <row r="1117" spans="46:48">
      <c r="AT1117" s="51"/>
      <c r="AV1117" s="51"/>
    </row>
    <row r="1118" spans="46:48">
      <c r="AT1118" s="51"/>
      <c r="AV1118" s="51"/>
    </row>
    <row r="1119" spans="46:48">
      <c r="AT1119" s="51"/>
      <c r="AV1119" s="51"/>
    </row>
    <row r="1120" spans="46:48">
      <c r="AT1120" s="51"/>
      <c r="AV1120" s="51"/>
    </row>
    <row r="1121" spans="46:48">
      <c r="AT1121" s="51"/>
      <c r="AV1121" s="51"/>
    </row>
    <row r="1122" spans="46:48">
      <c r="AT1122" s="51"/>
      <c r="AV1122" s="51"/>
    </row>
    <row r="1123" spans="46:48">
      <c r="AT1123" s="51"/>
      <c r="AV1123" s="51"/>
    </row>
    <row r="1124" spans="46:48">
      <c r="AT1124" s="51"/>
      <c r="AV1124" s="51"/>
    </row>
    <row r="1125" spans="46:48">
      <c r="AT1125" s="51"/>
      <c r="AV1125" s="51"/>
    </row>
    <row r="1126" spans="46:48">
      <c r="AT1126" s="51"/>
      <c r="AV1126" s="51"/>
    </row>
    <row r="1127" spans="46:48">
      <c r="AT1127" s="51"/>
      <c r="AV1127" s="51"/>
    </row>
    <row r="1128" spans="46:48">
      <c r="AT1128" s="51"/>
      <c r="AV1128" s="51"/>
    </row>
    <row r="1129" spans="46:48">
      <c r="AT1129" s="51"/>
      <c r="AV1129" s="51"/>
    </row>
    <row r="1130" spans="46:48">
      <c r="AT1130" s="51"/>
      <c r="AV1130" s="51"/>
    </row>
    <row r="1131" spans="46:48">
      <c r="AT1131" s="51"/>
      <c r="AV1131" s="51"/>
    </row>
    <row r="1132" spans="46:48">
      <c r="AT1132" s="51"/>
      <c r="AV1132" s="51"/>
    </row>
    <row r="1133" spans="46:48">
      <c r="AT1133" s="51"/>
      <c r="AV1133" s="51"/>
    </row>
    <row r="1134" spans="46:48">
      <c r="AT1134" s="51"/>
      <c r="AV1134" s="51"/>
    </row>
    <row r="1135" spans="46:48">
      <c r="AT1135" s="51"/>
      <c r="AV1135" s="51"/>
    </row>
    <row r="1136" spans="46:48">
      <c r="AT1136" s="51"/>
      <c r="AV1136" s="51"/>
    </row>
    <row r="1137" spans="46:48">
      <c r="AT1137" s="51"/>
      <c r="AV1137" s="51"/>
    </row>
    <row r="1138" spans="46:48">
      <c r="AT1138" s="51"/>
      <c r="AV1138" s="51"/>
    </row>
    <row r="1139" spans="46:48">
      <c r="AT1139" s="51"/>
      <c r="AV1139" s="51"/>
    </row>
    <row r="1140" spans="46:48">
      <c r="AT1140" s="51"/>
      <c r="AV1140" s="51"/>
    </row>
    <row r="1141" spans="46:48">
      <c r="AT1141" s="51"/>
      <c r="AV1141" s="51"/>
    </row>
    <row r="1142" spans="46:48">
      <c r="AT1142" s="51"/>
      <c r="AV1142" s="51"/>
    </row>
    <row r="1143" spans="46:48">
      <c r="AT1143" s="51"/>
      <c r="AV1143" s="51"/>
    </row>
    <row r="1144" spans="46:48">
      <c r="AT1144" s="51"/>
      <c r="AV1144" s="51"/>
    </row>
    <row r="1145" spans="46:48">
      <c r="AT1145" s="51"/>
      <c r="AV1145" s="51"/>
    </row>
    <row r="1146" spans="46:48">
      <c r="AT1146" s="51"/>
      <c r="AV1146" s="51"/>
    </row>
    <row r="1147" spans="46:48">
      <c r="AT1147" s="51"/>
      <c r="AV1147" s="51"/>
    </row>
    <row r="1148" spans="46:48">
      <c r="AT1148" s="51"/>
      <c r="AV1148" s="51"/>
    </row>
    <row r="1149" spans="46:48">
      <c r="AT1149" s="51"/>
      <c r="AV1149" s="51"/>
    </row>
    <row r="1150" spans="46:48">
      <c r="AT1150" s="51"/>
      <c r="AV1150" s="51"/>
    </row>
    <row r="1151" spans="46:48">
      <c r="AT1151" s="51"/>
      <c r="AV1151" s="51"/>
    </row>
    <row r="1152" spans="46:48">
      <c r="AT1152" s="51"/>
      <c r="AV1152" s="51"/>
    </row>
    <row r="1153" spans="46:48">
      <c r="AT1153" s="51"/>
      <c r="AV1153" s="51"/>
    </row>
    <row r="1154" spans="46:48">
      <c r="AT1154" s="51"/>
      <c r="AV1154" s="51"/>
    </row>
    <row r="1155" spans="46:48">
      <c r="AT1155" s="51"/>
      <c r="AV1155" s="51"/>
    </row>
    <row r="1156" spans="46:48">
      <c r="AT1156" s="51"/>
      <c r="AV1156" s="51"/>
    </row>
    <row r="1157" spans="46:48">
      <c r="AT1157" s="51"/>
      <c r="AV1157" s="51"/>
    </row>
    <row r="1158" spans="46:48">
      <c r="AT1158" s="51"/>
      <c r="AV1158" s="51"/>
    </row>
    <row r="1159" spans="46:48">
      <c r="AT1159" s="51"/>
      <c r="AV1159" s="51"/>
    </row>
    <row r="1160" spans="46:48">
      <c r="AT1160" s="51"/>
      <c r="AV1160" s="51"/>
    </row>
    <row r="1161" spans="46:48">
      <c r="AT1161" s="51"/>
      <c r="AV1161" s="51"/>
    </row>
    <row r="1162" spans="46:48">
      <c r="AT1162" s="51"/>
      <c r="AV1162" s="51"/>
    </row>
    <row r="1163" spans="46:48">
      <c r="AT1163" s="51"/>
      <c r="AV1163" s="51"/>
    </row>
    <row r="1164" spans="46:48">
      <c r="AT1164" s="51"/>
      <c r="AV1164" s="51"/>
    </row>
    <row r="1165" spans="46:48">
      <c r="AT1165" s="51"/>
      <c r="AV1165" s="51"/>
    </row>
    <row r="1166" spans="46:48">
      <c r="AT1166" s="51"/>
      <c r="AV1166" s="51"/>
    </row>
    <row r="1167" spans="46:48">
      <c r="AT1167" s="51"/>
      <c r="AV1167" s="51"/>
    </row>
    <row r="1168" spans="46:48">
      <c r="AT1168" s="51"/>
      <c r="AV1168" s="51"/>
    </row>
    <row r="1169" spans="46:48">
      <c r="AT1169" s="51"/>
      <c r="AV1169" s="51"/>
    </row>
    <row r="1170" spans="46:48">
      <c r="AT1170" s="51"/>
      <c r="AV1170" s="51"/>
    </row>
    <row r="1171" spans="46:48">
      <c r="AT1171" s="51"/>
      <c r="AV1171" s="51"/>
    </row>
    <row r="1172" spans="46:48">
      <c r="AT1172" s="51"/>
      <c r="AV1172" s="51"/>
    </row>
    <row r="1173" spans="46:48">
      <c r="AT1173" s="51"/>
      <c r="AV1173" s="51"/>
    </row>
    <row r="1174" spans="46:48">
      <c r="AT1174" s="51"/>
      <c r="AV1174" s="51"/>
    </row>
    <row r="1175" spans="46:48">
      <c r="AT1175" s="51"/>
      <c r="AV1175" s="51"/>
    </row>
    <row r="1176" spans="46:48">
      <c r="AT1176" s="51"/>
      <c r="AV1176" s="51"/>
    </row>
    <row r="1177" spans="46:48">
      <c r="AT1177" s="51"/>
      <c r="AV1177" s="51"/>
    </row>
    <row r="1178" spans="46:48">
      <c r="AT1178" s="51"/>
      <c r="AV1178" s="51"/>
    </row>
    <row r="1179" spans="46:48">
      <c r="AT1179" s="51"/>
      <c r="AV1179" s="51"/>
    </row>
    <row r="1180" spans="46:48">
      <c r="AT1180" s="51"/>
      <c r="AV1180" s="51"/>
    </row>
    <row r="1181" spans="46:48">
      <c r="AT1181" s="51"/>
      <c r="AV1181" s="51"/>
    </row>
    <row r="1182" spans="46:48">
      <c r="AT1182" s="51"/>
      <c r="AV1182" s="51"/>
    </row>
    <row r="1183" spans="46:48">
      <c r="AT1183" s="51"/>
      <c r="AV1183" s="51"/>
    </row>
    <row r="1184" spans="46:48">
      <c r="AT1184" s="51"/>
      <c r="AV1184" s="51"/>
    </row>
    <row r="1185" spans="46:48">
      <c r="AT1185" s="51"/>
      <c r="AV1185" s="51"/>
    </row>
    <row r="1186" spans="46:48">
      <c r="AT1186" s="51"/>
      <c r="AV1186" s="51"/>
    </row>
    <row r="1187" spans="46:48">
      <c r="AT1187" s="51"/>
      <c r="AV1187" s="51"/>
    </row>
    <row r="1188" spans="46:48">
      <c r="AT1188" s="51"/>
      <c r="AV1188" s="51"/>
    </row>
    <row r="1189" spans="46:48">
      <c r="AT1189" s="51"/>
      <c r="AV1189" s="51"/>
    </row>
    <row r="1190" spans="46:48">
      <c r="AT1190" s="51"/>
      <c r="AV1190" s="51"/>
    </row>
    <row r="1191" spans="46:48">
      <c r="AT1191" s="51"/>
      <c r="AV1191" s="51"/>
    </row>
    <row r="1192" spans="46:48">
      <c r="AT1192" s="51"/>
      <c r="AV1192" s="51"/>
    </row>
    <row r="1193" spans="46:48">
      <c r="AT1193" s="51"/>
      <c r="AV1193" s="51"/>
    </row>
    <row r="1194" spans="46:48">
      <c r="AT1194" s="51"/>
      <c r="AV1194" s="51"/>
    </row>
    <row r="1195" spans="46:48">
      <c r="AT1195" s="51"/>
      <c r="AV1195" s="51"/>
    </row>
    <row r="1196" spans="46:48">
      <c r="AT1196" s="51"/>
      <c r="AV1196" s="51"/>
    </row>
    <row r="1197" spans="46:48">
      <c r="AT1197" s="51"/>
      <c r="AV1197" s="51"/>
    </row>
    <row r="1198" spans="46:48">
      <c r="AT1198" s="51"/>
      <c r="AV1198" s="51"/>
    </row>
    <row r="1199" spans="46:48">
      <c r="AT1199" s="51"/>
      <c r="AV1199" s="51"/>
    </row>
    <row r="1200" spans="46:48">
      <c r="AT1200" s="51"/>
      <c r="AV1200" s="51"/>
    </row>
    <row r="1201" spans="46:48">
      <c r="AT1201" s="51"/>
      <c r="AV1201" s="51"/>
    </row>
    <row r="1202" spans="46:48">
      <c r="AT1202" s="51"/>
      <c r="AV1202" s="51"/>
    </row>
    <row r="1203" spans="46:48">
      <c r="AT1203" s="51"/>
      <c r="AV1203" s="51"/>
    </row>
    <row r="1204" spans="46:48">
      <c r="AT1204" s="51"/>
      <c r="AV1204" s="51"/>
    </row>
    <row r="1205" spans="46:48">
      <c r="AT1205" s="51"/>
      <c r="AV1205" s="51"/>
    </row>
    <row r="1206" spans="46:48">
      <c r="AT1206" s="51"/>
      <c r="AV1206" s="51"/>
    </row>
    <row r="1207" spans="46:48">
      <c r="AT1207" s="51"/>
      <c r="AV1207" s="51"/>
    </row>
    <row r="1208" spans="46:48">
      <c r="AT1208" s="51"/>
      <c r="AV1208" s="51"/>
    </row>
    <row r="1209" spans="46:48">
      <c r="AT1209" s="51"/>
      <c r="AV1209" s="51"/>
    </row>
    <row r="1210" spans="46:48">
      <c r="AT1210" s="51"/>
      <c r="AV1210" s="51"/>
    </row>
    <row r="1211" spans="46:48">
      <c r="AT1211" s="51"/>
      <c r="AV1211" s="51"/>
    </row>
    <row r="1212" spans="46:48">
      <c r="AT1212" s="51"/>
      <c r="AV1212" s="51"/>
    </row>
    <row r="1213" spans="46:48">
      <c r="AT1213" s="51"/>
      <c r="AV1213" s="51"/>
    </row>
    <row r="1214" spans="46:48">
      <c r="AT1214" s="51"/>
      <c r="AV1214" s="51"/>
    </row>
    <row r="1215" spans="46:48">
      <c r="AT1215" s="51"/>
      <c r="AV1215" s="51"/>
    </row>
    <row r="1216" spans="46:48">
      <c r="AT1216" s="51"/>
      <c r="AV1216" s="51"/>
    </row>
    <row r="1217" spans="46:48">
      <c r="AT1217" s="51"/>
      <c r="AV1217" s="51"/>
    </row>
    <row r="1218" spans="46:48">
      <c r="AT1218" s="51"/>
      <c r="AV1218" s="51"/>
    </row>
    <row r="1219" spans="46:48">
      <c r="AT1219" s="51"/>
      <c r="AV1219" s="51"/>
    </row>
    <row r="1220" spans="46:48">
      <c r="AT1220" s="51"/>
      <c r="AV1220" s="51"/>
    </row>
    <row r="1221" spans="46:48">
      <c r="AT1221" s="51"/>
      <c r="AV1221" s="51"/>
    </row>
    <row r="1222" spans="46:48">
      <c r="AT1222" s="51"/>
      <c r="AV1222" s="51"/>
    </row>
    <row r="1223" spans="46:48">
      <c r="AT1223" s="51"/>
      <c r="AV1223" s="51"/>
    </row>
    <row r="1224" spans="46:48">
      <c r="AT1224" s="51"/>
      <c r="AV1224" s="51"/>
    </row>
    <row r="1225" spans="46:48">
      <c r="AT1225" s="51"/>
      <c r="AV1225" s="51"/>
    </row>
    <row r="1226" spans="46:48">
      <c r="AT1226" s="51"/>
      <c r="AV1226" s="51"/>
    </row>
    <row r="1227" spans="46:48">
      <c r="AT1227" s="51"/>
      <c r="AV1227" s="51"/>
    </row>
    <row r="1228" spans="46:48">
      <c r="AT1228" s="51"/>
      <c r="AV1228" s="51"/>
    </row>
    <row r="1229" spans="46:48">
      <c r="AT1229" s="51"/>
      <c r="AV1229" s="51"/>
    </row>
    <row r="1230" spans="46:48">
      <c r="AT1230" s="51"/>
      <c r="AV1230" s="51"/>
    </row>
    <row r="1231" spans="46:48">
      <c r="AT1231" s="51"/>
      <c r="AV1231" s="51"/>
    </row>
    <row r="1232" spans="46:48">
      <c r="AT1232" s="51"/>
      <c r="AV1232" s="51"/>
    </row>
    <row r="1233" spans="46:48">
      <c r="AT1233" s="51"/>
      <c r="AV1233" s="51"/>
    </row>
    <row r="1234" spans="46:48">
      <c r="AT1234" s="51"/>
      <c r="AV1234" s="51"/>
    </row>
    <row r="1235" spans="46:48">
      <c r="AT1235" s="51"/>
      <c r="AV1235" s="51"/>
    </row>
    <row r="1236" spans="46:48">
      <c r="AT1236" s="51"/>
      <c r="AV1236" s="51"/>
    </row>
    <row r="1237" spans="46:48">
      <c r="AT1237" s="51"/>
      <c r="AV1237" s="51"/>
    </row>
    <row r="1238" spans="46:48">
      <c r="AT1238" s="51"/>
      <c r="AV1238" s="51"/>
    </row>
    <row r="1239" spans="46:48">
      <c r="AT1239" s="51"/>
      <c r="AV1239" s="51"/>
    </row>
    <row r="1240" spans="46:48">
      <c r="AT1240" s="51"/>
      <c r="AV1240" s="51"/>
    </row>
    <row r="1241" spans="46:48">
      <c r="AT1241" s="51"/>
      <c r="AV1241" s="51"/>
    </row>
    <row r="1242" spans="46:48">
      <c r="AT1242" s="51"/>
      <c r="AV1242" s="51"/>
    </row>
    <row r="1243" spans="46:48">
      <c r="AT1243" s="51"/>
      <c r="AV1243" s="51"/>
    </row>
    <row r="1244" spans="46:48">
      <c r="AT1244" s="51"/>
      <c r="AV1244" s="51"/>
    </row>
    <row r="1245" spans="46:48">
      <c r="AT1245" s="51"/>
      <c r="AV1245" s="51"/>
    </row>
    <row r="1246" spans="46:48">
      <c r="AT1246" s="51"/>
      <c r="AV1246" s="51"/>
    </row>
    <row r="1247" spans="46:48">
      <c r="AT1247" s="51"/>
      <c r="AV1247" s="51"/>
    </row>
    <row r="1248" spans="46:48">
      <c r="AT1248" s="51"/>
      <c r="AV1248" s="51"/>
    </row>
    <row r="1249" spans="46:48">
      <c r="AT1249" s="51"/>
      <c r="AV1249" s="51"/>
    </row>
    <row r="1250" spans="46:48">
      <c r="AT1250" s="51"/>
      <c r="AV1250" s="51"/>
    </row>
    <row r="1251" spans="46:48">
      <c r="AT1251" s="51"/>
      <c r="AV1251" s="51"/>
    </row>
    <row r="1252" spans="46:48">
      <c r="AT1252" s="51"/>
      <c r="AV1252" s="51"/>
    </row>
    <row r="1253" spans="46:48">
      <c r="AT1253" s="51"/>
      <c r="AV1253" s="51"/>
    </row>
    <row r="1254" spans="46:48">
      <c r="AT1254" s="51"/>
      <c r="AV1254" s="51"/>
    </row>
    <row r="1255" spans="46:48">
      <c r="AT1255" s="51"/>
      <c r="AV1255" s="51"/>
    </row>
    <row r="1256" spans="46:48">
      <c r="AT1256" s="51"/>
      <c r="AV1256" s="51"/>
    </row>
    <row r="1257" spans="46:48">
      <c r="AT1257" s="51"/>
      <c r="AV1257" s="51"/>
    </row>
    <row r="1258" spans="46:48">
      <c r="AT1258" s="51"/>
      <c r="AV1258" s="51"/>
    </row>
    <row r="1259" spans="46:48">
      <c r="AT1259" s="51"/>
      <c r="AV1259" s="51"/>
    </row>
    <row r="1260" spans="46:48">
      <c r="AT1260" s="51"/>
      <c r="AV1260" s="51"/>
    </row>
    <row r="1261" spans="46:48">
      <c r="AT1261" s="51"/>
      <c r="AV1261" s="51"/>
    </row>
    <row r="1262" spans="46:48">
      <c r="AT1262" s="51"/>
      <c r="AV1262" s="51"/>
    </row>
    <row r="1263" spans="46:48">
      <c r="AT1263" s="51"/>
      <c r="AV1263" s="51"/>
    </row>
    <row r="1264" spans="46:48">
      <c r="AT1264" s="51"/>
      <c r="AV1264" s="51"/>
    </row>
    <row r="1265" spans="46:48">
      <c r="AT1265" s="51"/>
      <c r="AV1265" s="51"/>
    </row>
    <row r="1266" spans="46:48">
      <c r="AT1266" s="51"/>
      <c r="AV1266" s="51"/>
    </row>
    <row r="1267" spans="46:48">
      <c r="AT1267" s="51"/>
      <c r="AV1267" s="51"/>
    </row>
    <row r="1268" spans="46:48">
      <c r="AT1268" s="51"/>
      <c r="AV1268" s="51"/>
    </row>
    <row r="1269" spans="46:48">
      <c r="AT1269" s="51"/>
      <c r="AV1269" s="51"/>
    </row>
    <row r="1270" spans="46:48">
      <c r="AT1270" s="51"/>
      <c r="AV1270" s="51"/>
    </row>
    <row r="1271" spans="46:48">
      <c r="AT1271" s="51"/>
      <c r="AV1271" s="51"/>
    </row>
    <row r="1272" spans="46:48">
      <c r="AT1272" s="51"/>
      <c r="AV1272" s="51"/>
    </row>
    <row r="1273" spans="46:48">
      <c r="AT1273" s="51"/>
      <c r="AV1273" s="51"/>
    </row>
    <row r="1274" spans="46:48">
      <c r="AT1274" s="51"/>
      <c r="AV1274" s="51"/>
    </row>
    <row r="1275" spans="46:48">
      <c r="AT1275" s="51"/>
      <c r="AV1275" s="51"/>
    </row>
    <row r="1276" spans="46:48">
      <c r="AT1276" s="51"/>
      <c r="AV1276" s="51"/>
    </row>
    <row r="1277" spans="46:48">
      <c r="AT1277" s="51"/>
      <c r="AV1277" s="51"/>
    </row>
    <row r="1278" spans="46:48">
      <c r="AT1278" s="51"/>
      <c r="AV1278" s="51"/>
    </row>
    <row r="1279" spans="46:48">
      <c r="AT1279" s="51"/>
      <c r="AV1279" s="51"/>
    </row>
    <row r="1280" spans="46:48">
      <c r="AT1280" s="51"/>
      <c r="AV1280" s="51"/>
    </row>
    <row r="1281" spans="46:48">
      <c r="AT1281" s="51"/>
      <c r="AV1281" s="51"/>
    </row>
    <row r="1282" spans="46:48">
      <c r="AT1282" s="51"/>
      <c r="AV1282" s="51"/>
    </row>
    <row r="1283" spans="46:48">
      <c r="AT1283" s="51"/>
      <c r="AV1283" s="51"/>
    </row>
    <row r="1284" spans="46:48">
      <c r="AT1284" s="51"/>
      <c r="AV1284" s="51"/>
    </row>
    <row r="1285" spans="46:48">
      <c r="AT1285" s="51"/>
      <c r="AV1285" s="51"/>
    </row>
    <row r="1286" spans="46:48">
      <c r="AT1286" s="51"/>
      <c r="AV1286" s="51"/>
    </row>
    <row r="1287" spans="46:48">
      <c r="AT1287" s="51"/>
      <c r="AV1287" s="51"/>
    </row>
    <row r="1288" spans="46:48">
      <c r="AT1288" s="51"/>
      <c r="AV1288" s="51"/>
    </row>
    <row r="1289" spans="46:48">
      <c r="AT1289" s="51"/>
      <c r="AV1289" s="51"/>
    </row>
    <row r="1290" spans="46:48">
      <c r="AT1290" s="51"/>
      <c r="AV1290" s="51"/>
    </row>
    <row r="1291" spans="46:48">
      <c r="AT1291" s="51"/>
      <c r="AV1291" s="51"/>
    </row>
    <row r="1292" spans="46:48">
      <c r="AT1292" s="51"/>
      <c r="AV1292" s="51"/>
    </row>
    <row r="1293" spans="46:48">
      <c r="AT1293" s="51"/>
      <c r="AV1293" s="51"/>
    </row>
    <row r="1294" spans="46:48">
      <c r="AT1294" s="51"/>
      <c r="AV1294" s="51"/>
    </row>
    <row r="1295" spans="46:48">
      <c r="AT1295" s="51"/>
      <c r="AV1295" s="51"/>
    </row>
    <row r="1296" spans="46:48">
      <c r="AT1296" s="51"/>
      <c r="AV1296" s="51"/>
    </row>
    <row r="1297" spans="46:48">
      <c r="AT1297" s="51"/>
      <c r="AV1297" s="51"/>
    </row>
    <row r="1298" spans="46:48">
      <c r="AT1298" s="51"/>
      <c r="AV1298" s="51"/>
    </row>
    <row r="1299" spans="46:48">
      <c r="AT1299" s="51"/>
      <c r="AV1299" s="51"/>
    </row>
    <row r="1300" spans="46:48">
      <c r="AT1300" s="51"/>
      <c r="AV1300" s="51"/>
    </row>
    <row r="1301" spans="46:48">
      <c r="AT1301" s="51"/>
      <c r="AV1301" s="51"/>
    </row>
    <row r="1302" spans="46:48">
      <c r="AT1302" s="51"/>
      <c r="AV1302" s="51"/>
    </row>
    <row r="1303" spans="46:48">
      <c r="AT1303" s="51"/>
      <c r="AV1303" s="51"/>
    </row>
    <row r="1304" spans="46:48">
      <c r="AT1304" s="51"/>
      <c r="AV1304" s="51"/>
    </row>
    <row r="1305" spans="46:48">
      <c r="AT1305" s="51"/>
      <c r="AV1305" s="51"/>
    </row>
    <row r="1306" spans="46:48">
      <c r="AT1306" s="51"/>
      <c r="AV1306" s="51"/>
    </row>
    <row r="1307" spans="46:48">
      <c r="AT1307" s="51"/>
      <c r="AV1307" s="51"/>
    </row>
    <row r="1308" spans="46:48">
      <c r="AT1308" s="51"/>
      <c r="AV1308" s="51"/>
    </row>
    <row r="1309" spans="46:48">
      <c r="AT1309" s="51"/>
      <c r="AV1309" s="51"/>
    </row>
    <row r="1310" spans="46:48">
      <c r="AT1310" s="51"/>
      <c r="AV1310" s="51"/>
    </row>
    <row r="1311" spans="46:48">
      <c r="AT1311" s="51"/>
      <c r="AV1311" s="51"/>
    </row>
    <row r="1312" spans="46:48">
      <c r="AT1312" s="51"/>
      <c r="AV1312" s="51"/>
    </row>
    <row r="1313" spans="46:48">
      <c r="AT1313" s="51"/>
      <c r="AV1313" s="51"/>
    </row>
    <row r="1314" spans="46:48">
      <c r="AT1314" s="51"/>
      <c r="AV1314" s="51"/>
    </row>
    <row r="1315" spans="46:48">
      <c r="AT1315" s="51"/>
      <c r="AV1315" s="51"/>
    </row>
    <row r="1316" spans="46:48">
      <c r="AT1316" s="51"/>
      <c r="AV1316" s="51"/>
    </row>
    <row r="1317" spans="46:48">
      <c r="AT1317" s="51"/>
      <c r="AV1317" s="51"/>
    </row>
    <row r="1318" spans="46:48">
      <c r="AT1318" s="51"/>
      <c r="AV1318" s="51"/>
    </row>
    <row r="1319" spans="46:48">
      <c r="AT1319" s="51"/>
      <c r="AV1319" s="51"/>
    </row>
    <row r="1320" spans="46:48">
      <c r="AT1320" s="51"/>
      <c r="AV1320" s="51"/>
    </row>
    <row r="1321" spans="46:48">
      <c r="AT1321" s="51"/>
      <c r="AV1321" s="51"/>
    </row>
    <row r="1322" spans="46:48">
      <c r="AT1322" s="51"/>
      <c r="AV1322" s="51"/>
    </row>
    <row r="1323" spans="46:48">
      <c r="AT1323" s="51"/>
      <c r="AV1323" s="51"/>
    </row>
    <row r="1324" spans="46:48">
      <c r="AT1324" s="51"/>
      <c r="AV1324" s="51"/>
    </row>
    <row r="1325" spans="46:48">
      <c r="AT1325" s="51"/>
      <c r="AV1325" s="51"/>
    </row>
    <row r="1326" spans="46:48">
      <c r="AT1326" s="51"/>
      <c r="AV1326" s="51"/>
    </row>
    <row r="1327" spans="46:48">
      <c r="AT1327" s="51"/>
      <c r="AV1327" s="51"/>
    </row>
    <row r="1328" spans="46:48">
      <c r="AT1328" s="51"/>
      <c r="AV1328" s="51"/>
    </row>
    <row r="1329" spans="46:48">
      <c r="AT1329" s="51"/>
      <c r="AV1329" s="51"/>
    </row>
    <row r="1330" spans="46:48">
      <c r="AT1330" s="51"/>
      <c r="AV1330" s="51"/>
    </row>
    <row r="1331" spans="46:48">
      <c r="AT1331" s="51"/>
      <c r="AV1331" s="51"/>
    </row>
    <row r="1332" spans="46:48">
      <c r="AT1332" s="51"/>
      <c r="AV1332" s="51"/>
    </row>
    <row r="1333" spans="46:48">
      <c r="AT1333" s="51"/>
      <c r="AV1333" s="51"/>
    </row>
    <row r="1334" spans="46:48">
      <c r="AT1334" s="51"/>
      <c r="AV1334" s="51"/>
    </row>
    <row r="1335" spans="46:48">
      <c r="AT1335" s="51"/>
      <c r="AV1335" s="51"/>
    </row>
    <row r="1336" spans="46:48">
      <c r="AT1336" s="51"/>
      <c r="AV1336" s="51"/>
    </row>
    <row r="1337" spans="46:48">
      <c r="AT1337" s="51"/>
      <c r="AV1337" s="51"/>
    </row>
    <row r="1338" spans="46:48">
      <c r="AT1338" s="51"/>
      <c r="AV1338" s="51"/>
    </row>
    <row r="1339" spans="46:48">
      <c r="AT1339" s="51"/>
      <c r="AV1339" s="51"/>
    </row>
    <row r="1340" spans="46:48">
      <c r="AT1340" s="51"/>
      <c r="AV1340" s="51"/>
    </row>
    <row r="1341" spans="46:48">
      <c r="AT1341" s="51"/>
      <c r="AV1341" s="51"/>
    </row>
    <row r="1342" spans="46:48">
      <c r="AT1342" s="51"/>
      <c r="AV1342" s="51"/>
    </row>
    <row r="1343" spans="46:48">
      <c r="AT1343" s="51"/>
      <c r="AV1343" s="51"/>
    </row>
    <row r="1344" spans="46:48">
      <c r="AT1344" s="51"/>
      <c r="AV1344" s="51"/>
    </row>
    <row r="1345" spans="46:48">
      <c r="AT1345" s="51"/>
      <c r="AV1345" s="51"/>
    </row>
    <row r="1346" spans="46:48">
      <c r="AT1346" s="51"/>
      <c r="AV1346" s="51"/>
    </row>
    <row r="1347" spans="46:48">
      <c r="AT1347" s="51"/>
      <c r="AV1347" s="51"/>
    </row>
    <row r="1348" spans="46:48">
      <c r="AT1348" s="51"/>
      <c r="AV1348" s="51"/>
    </row>
    <row r="1349" spans="46:48">
      <c r="AT1349" s="51"/>
      <c r="AV1349" s="51"/>
    </row>
    <row r="1350" spans="46:48">
      <c r="AT1350" s="51"/>
      <c r="AV1350" s="51"/>
    </row>
    <row r="1351" spans="46:48">
      <c r="AT1351" s="51"/>
      <c r="AV1351" s="51"/>
    </row>
    <row r="1352" spans="46:48">
      <c r="AT1352" s="51"/>
      <c r="AV1352" s="51"/>
    </row>
    <row r="1353" spans="46:48">
      <c r="AT1353" s="51"/>
      <c r="AV1353" s="51"/>
    </row>
    <row r="1354" spans="46:48">
      <c r="AT1354" s="51"/>
      <c r="AV1354" s="51"/>
    </row>
    <row r="1355" spans="46:48">
      <c r="AT1355" s="51"/>
      <c r="AV1355" s="51"/>
    </row>
    <row r="1356" spans="46:48">
      <c r="AT1356" s="51"/>
      <c r="AV1356" s="51"/>
    </row>
    <row r="1357" spans="46:48">
      <c r="AT1357" s="51"/>
      <c r="AV1357" s="51"/>
    </row>
    <row r="1358" spans="46:48">
      <c r="AT1358" s="51"/>
      <c r="AV1358" s="51"/>
    </row>
    <row r="1359" spans="46:48">
      <c r="AT1359" s="51"/>
      <c r="AV1359" s="51"/>
    </row>
    <row r="1360" spans="46:48">
      <c r="AT1360" s="51"/>
      <c r="AV1360" s="51"/>
    </row>
    <row r="1361" spans="46:48">
      <c r="AT1361" s="51"/>
      <c r="AV1361" s="51"/>
    </row>
    <row r="1362" spans="46:48">
      <c r="AT1362" s="51"/>
      <c r="AV1362" s="51"/>
    </row>
    <row r="1363" spans="46:48">
      <c r="AT1363" s="51"/>
      <c r="AV1363" s="51"/>
    </row>
    <row r="1364" spans="46:48">
      <c r="AT1364" s="51"/>
      <c r="AV1364" s="51"/>
    </row>
    <row r="1365" spans="46:48">
      <c r="AT1365" s="51"/>
      <c r="AV1365" s="51"/>
    </row>
    <row r="1366" spans="46:48">
      <c r="AT1366" s="51"/>
      <c r="AV1366" s="51"/>
    </row>
    <row r="1367" spans="46:48">
      <c r="AT1367" s="51"/>
      <c r="AV1367" s="51"/>
    </row>
    <row r="1368" spans="46:48">
      <c r="AT1368" s="51"/>
      <c r="AV1368" s="51"/>
    </row>
    <row r="1369" spans="46:48">
      <c r="AT1369" s="51"/>
      <c r="AV1369" s="51"/>
    </row>
    <row r="1370" spans="46:48">
      <c r="AT1370" s="51"/>
      <c r="AV1370" s="51"/>
    </row>
    <row r="1371" spans="46:48">
      <c r="AT1371" s="51"/>
      <c r="AV1371" s="51"/>
    </row>
    <row r="1372" spans="46:48">
      <c r="AT1372" s="51"/>
      <c r="AV1372" s="51"/>
    </row>
    <row r="1373" spans="46:48">
      <c r="AT1373" s="51"/>
      <c r="AV1373" s="51"/>
    </row>
    <row r="1374" spans="46:48">
      <c r="AT1374" s="51"/>
      <c r="AV1374" s="51"/>
    </row>
    <row r="1375" spans="46:48">
      <c r="AT1375" s="51"/>
      <c r="AV1375" s="51"/>
    </row>
    <row r="1376" spans="46:48">
      <c r="AT1376" s="51"/>
      <c r="AV1376" s="51"/>
    </row>
    <row r="1377" spans="46:48">
      <c r="AT1377" s="51"/>
      <c r="AV1377" s="51"/>
    </row>
    <row r="1378" spans="46:48">
      <c r="AT1378" s="51"/>
      <c r="AV1378" s="51"/>
    </row>
    <row r="1379" spans="46:48">
      <c r="AT1379" s="51"/>
      <c r="AV1379" s="51"/>
    </row>
    <row r="1380" spans="46:48">
      <c r="AT1380" s="51"/>
      <c r="AV1380" s="51"/>
    </row>
    <row r="1381" spans="46:48">
      <c r="AT1381" s="51"/>
      <c r="AV1381" s="51"/>
    </row>
    <row r="1382" spans="46:48">
      <c r="AT1382" s="51"/>
      <c r="AV1382" s="51"/>
    </row>
    <row r="1383" spans="46:48">
      <c r="AT1383" s="51"/>
      <c r="AV1383" s="51"/>
    </row>
    <row r="1384" spans="46:48">
      <c r="AT1384" s="51"/>
      <c r="AV1384" s="51"/>
    </row>
    <row r="1385" spans="46:48">
      <c r="AT1385" s="51"/>
      <c r="AV1385" s="51"/>
    </row>
    <row r="1386" spans="46:48">
      <c r="AT1386" s="51"/>
      <c r="AV1386" s="51"/>
    </row>
    <row r="1387" spans="46:48">
      <c r="AT1387" s="51"/>
      <c r="AV1387" s="51"/>
    </row>
    <row r="1388" spans="46:48">
      <c r="AT1388" s="51"/>
      <c r="AV1388" s="51"/>
    </row>
    <row r="1389" spans="46:48">
      <c r="AT1389" s="51"/>
      <c r="AV1389" s="51"/>
    </row>
    <row r="1390" spans="46:48">
      <c r="AT1390" s="51"/>
      <c r="AV1390" s="51"/>
    </row>
    <row r="1391" spans="46:48">
      <c r="AT1391" s="51"/>
      <c r="AV1391" s="51"/>
    </row>
    <row r="1392" spans="46:48">
      <c r="AT1392" s="51"/>
      <c r="AV1392" s="51"/>
    </row>
    <row r="1393" spans="46:48">
      <c r="AT1393" s="51"/>
      <c r="AV1393" s="51"/>
    </row>
    <row r="1394" spans="46:48">
      <c r="AT1394" s="51"/>
      <c r="AV1394" s="51"/>
    </row>
    <row r="1395" spans="46:48">
      <c r="AT1395" s="51"/>
      <c r="AV1395" s="51"/>
    </row>
    <row r="1396" spans="46:48">
      <c r="AT1396" s="51"/>
      <c r="AV1396" s="51"/>
    </row>
    <row r="1397" spans="46:48">
      <c r="AT1397" s="51"/>
      <c r="AV1397" s="51"/>
    </row>
    <row r="1398" spans="46:48">
      <c r="AT1398" s="51"/>
      <c r="AV1398" s="51"/>
    </row>
    <row r="1399" spans="46:48">
      <c r="AT1399" s="51"/>
      <c r="AV1399" s="51"/>
    </row>
    <row r="1400" spans="46:48">
      <c r="AT1400" s="51"/>
      <c r="AV1400" s="51"/>
    </row>
    <row r="1401" spans="46:48">
      <c r="AT1401" s="51"/>
      <c r="AV1401" s="51"/>
    </row>
    <row r="1402" spans="46:48">
      <c r="AT1402" s="51"/>
      <c r="AV1402" s="51"/>
    </row>
    <row r="1403" spans="46:48">
      <c r="AT1403" s="51"/>
      <c r="AV1403" s="51"/>
    </row>
    <row r="1404" spans="46:48">
      <c r="AT1404" s="51"/>
      <c r="AV1404" s="51"/>
    </row>
    <row r="1405" spans="46:48">
      <c r="AT1405" s="51"/>
      <c r="AV1405" s="51"/>
    </row>
    <row r="1406" spans="46:48">
      <c r="AT1406" s="51"/>
      <c r="AV1406" s="51"/>
    </row>
    <row r="1407" spans="46:48">
      <c r="AT1407" s="51"/>
      <c r="AV1407" s="51"/>
    </row>
    <row r="1408" spans="46:48">
      <c r="AT1408" s="51"/>
      <c r="AV1408" s="51"/>
    </row>
    <row r="1409" spans="46:48">
      <c r="AT1409" s="51"/>
      <c r="AV1409" s="51"/>
    </row>
    <row r="1410" spans="46:48">
      <c r="AT1410" s="51"/>
      <c r="AV1410" s="51"/>
    </row>
    <row r="1411" spans="46:48">
      <c r="AT1411" s="51"/>
      <c r="AV1411" s="51"/>
    </row>
    <row r="1412" spans="46:48">
      <c r="AT1412" s="51"/>
      <c r="AV1412" s="51"/>
    </row>
    <row r="1413" spans="46:48">
      <c r="AT1413" s="51"/>
      <c r="AV1413" s="51"/>
    </row>
    <row r="1414" spans="46:48">
      <c r="AT1414" s="51"/>
      <c r="AV1414" s="51"/>
    </row>
    <row r="1415" spans="46:48">
      <c r="AT1415" s="51"/>
      <c r="AV1415" s="51"/>
    </row>
    <row r="1416" spans="46:48">
      <c r="AT1416" s="51"/>
      <c r="AV1416" s="51"/>
    </row>
    <row r="1417" spans="46:48">
      <c r="AT1417" s="51"/>
      <c r="AV1417" s="51"/>
    </row>
    <row r="1418" spans="46:48">
      <c r="AT1418" s="51"/>
      <c r="AV1418" s="51"/>
    </row>
    <row r="1419" spans="46:48">
      <c r="AT1419" s="51"/>
      <c r="AV1419" s="51"/>
    </row>
    <row r="1420" spans="46:48">
      <c r="AT1420" s="51"/>
      <c r="AV1420" s="51"/>
    </row>
    <row r="1421" spans="46:48">
      <c r="AT1421" s="51"/>
      <c r="AV1421" s="51"/>
    </row>
    <row r="1422" spans="46:48">
      <c r="AT1422" s="51"/>
      <c r="AV1422" s="51"/>
    </row>
    <row r="1423" spans="46:48">
      <c r="AT1423" s="51"/>
      <c r="AV1423" s="51"/>
    </row>
    <row r="1424" spans="46:48">
      <c r="AT1424" s="51"/>
      <c r="AV1424" s="51"/>
    </row>
    <row r="1425" spans="46:48">
      <c r="AT1425" s="51"/>
      <c r="AV1425" s="51"/>
    </row>
    <row r="1426" spans="46:48">
      <c r="AT1426" s="51"/>
      <c r="AV1426" s="51"/>
    </row>
    <row r="1427" spans="46:48">
      <c r="AT1427" s="51"/>
      <c r="AV1427" s="51"/>
    </row>
    <row r="1428" spans="46:48">
      <c r="AT1428" s="51"/>
      <c r="AV1428" s="51"/>
    </row>
    <row r="1429" spans="46:48">
      <c r="AT1429" s="51"/>
      <c r="AV1429" s="51"/>
    </row>
    <row r="1430" spans="46:48">
      <c r="AT1430" s="51"/>
      <c r="AV1430" s="51"/>
    </row>
    <row r="1431" spans="46:48">
      <c r="AT1431" s="51"/>
      <c r="AV1431" s="51"/>
    </row>
    <row r="1432" spans="46:48">
      <c r="AT1432" s="51"/>
      <c r="AV1432" s="51"/>
    </row>
    <row r="1433" spans="46:48">
      <c r="AT1433" s="51"/>
      <c r="AV1433" s="51"/>
    </row>
    <row r="1434" spans="46:48">
      <c r="AT1434" s="51"/>
      <c r="AV1434" s="51"/>
    </row>
    <row r="1435" spans="46:48">
      <c r="AT1435" s="51"/>
      <c r="AV1435" s="51"/>
    </row>
    <row r="1436" spans="46:48">
      <c r="AT1436" s="51"/>
      <c r="AV1436" s="51"/>
    </row>
    <row r="1437" spans="46:48">
      <c r="AT1437" s="51"/>
      <c r="AV1437" s="51"/>
    </row>
    <row r="1438" spans="46:48">
      <c r="AT1438" s="51"/>
      <c r="AV1438" s="51"/>
    </row>
    <row r="1439" spans="46:48">
      <c r="AT1439" s="51"/>
      <c r="AV1439" s="51"/>
    </row>
    <row r="1440" spans="46:48">
      <c r="AT1440" s="51"/>
      <c r="AV1440" s="51"/>
    </row>
    <row r="1441" spans="46:48">
      <c r="AT1441" s="51"/>
      <c r="AV1441" s="51"/>
    </row>
    <row r="1442" spans="46:48">
      <c r="AT1442" s="51"/>
      <c r="AV1442" s="51"/>
    </row>
    <row r="1443" spans="46:48">
      <c r="AT1443" s="51"/>
      <c r="AV1443" s="51"/>
    </row>
    <row r="1444" spans="46:48">
      <c r="AT1444" s="51"/>
      <c r="AV1444" s="51"/>
    </row>
    <row r="1445" spans="46:48">
      <c r="AT1445" s="51"/>
      <c r="AV1445" s="51"/>
    </row>
    <row r="1446" spans="46:48">
      <c r="AT1446" s="51"/>
      <c r="AV1446" s="51"/>
    </row>
    <row r="1447" spans="46:48">
      <c r="AT1447" s="51"/>
      <c r="AV1447" s="51"/>
    </row>
    <row r="1448" spans="46:48">
      <c r="AT1448" s="51"/>
      <c r="AV1448" s="51"/>
    </row>
    <row r="1449" spans="46:48">
      <c r="AT1449" s="51"/>
      <c r="AV1449" s="51"/>
    </row>
    <row r="1450" spans="46:48">
      <c r="AT1450" s="51"/>
      <c r="AV1450" s="51"/>
    </row>
    <row r="1451" spans="46:48">
      <c r="AT1451" s="51"/>
      <c r="AV1451" s="51"/>
    </row>
    <row r="1452" spans="46:48">
      <c r="AT1452" s="51"/>
      <c r="AV1452" s="51"/>
    </row>
    <row r="1453" spans="46:48">
      <c r="AT1453" s="51"/>
      <c r="AV1453" s="51"/>
    </row>
    <row r="1454" spans="46:48">
      <c r="AT1454" s="51"/>
      <c r="AV1454" s="51"/>
    </row>
    <row r="1455" spans="46:48">
      <c r="AT1455" s="51"/>
      <c r="AV1455" s="51"/>
    </row>
    <row r="1456" spans="46:48">
      <c r="AT1456" s="51"/>
      <c r="AV1456" s="51"/>
    </row>
    <row r="1457" spans="46:48">
      <c r="AT1457" s="51"/>
      <c r="AV1457" s="51"/>
    </row>
    <row r="1458" spans="46:48">
      <c r="AT1458" s="51"/>
      <c r="AV1458" s="51"/>
    </row>
    <row r="1459" spans="46:48">
      <c r="AT1459" s="51"/>
      <c r="AV1459" s="51"/>
    </row>
    <row r="1460" spans="46:48">
      <c r="AT1460" s="51"/>
      <c r="AV1460" s="51"/>
    </row>
    <row r="1461" spans="46:48">
      <c r="AT1461" s="51"/>
      <c r="AV1461" s="51"/>
    </row>
    <row r="1462" spans="46:48">
      <c r="AT1462" s="51"/>
      <c r="AV1462" s="51"/>
    </row>
    <row r="1463" spans="46:48">
      <c r="AT1463" s="51"/>
      <c r="AV1463" s="51"/>
    </row>
    <row r="1464" spans="46:48">
      <c r="AT1464" s="51"/>
      <c r="AV1464" s="51"/>
    </row>
    <row r="1465" spans="46:48">
      <c r="AT1465" s="51"/>
      <c r="AV1465" s="51"/>
    </row>
    <row r="1466" spans="46:48">
      <c r="AT1466" s="51"/>
      <c r="AV1466" s="51"/>
    </row>
    <row r="1467" spans="46:48">
      <c r="AT1467" s="51"/>
      <c r="AV1467" s="51"/>
    </row>
    <row r="1468" spans="46:48">
      <c r="AT1468" s="51"/>
      <c r="AV1468" s="51"/>
    </row>
    <row r="1469" spans="46:48">
      <c r="AT1469" s="51"/>
      <c r="AV1469" s="51"/>
    </row>
    <row r="1470" spans="46:48">
      <c r="AT1470" s="51"/>
      <c r="AV1470" s="51"/>
    </row>
    <row r="1471" spans="46:48">
      <c r="AT1471" s="51"/>
      <c r="AV1471" s="51"/>
    </row>
    <row r="1472" spans="46:48">
      <c r="AT1472" s="51"/>
      <c r="AV1472" s="51"/>
    </row>
    <row r="1473" spans="46:48">
      <c r="AT1473" s="51"/>
      <c r="AV1473" s="51"/>
    </row>
    <row r="1474" spans="46:48">
      <c r="AT1474" s="51"/>
      <c r="AV1474" s="51"/>
    </row>
    <row r="1475" spans="46:48">
      <c r="AT1475" s="51"/>
      <c r="AV1475" s="51"/>
    </row>
    <row r="1476" spans="46:48">
      <c r="AT1476" s="51"/>
      <c r="AV1476" s="51"/>
    </row>
    <row r="1477" spans="46:48">
      <c r="AT1477" s="51"/>
      <c r="AV1477" s="51"/>
    </row>
    <row r="1478" spans="46:48">
      <c r="AT1478" s="51"/>
      <c r="AV1478" s="51"/>
    </row>
    <row r="1479" spans="46:48">
      <c r="AT1479" s="51"/>
      <c r="AV1479" s="51"/>
    </row>
    <row r="1480" spans="46:48">
      <c r="AT1480" s="51"/>
      <c r="AV1480" s="51"/>
    </row>
    <row r="1481" spans="46:48">
      <c r="AT1481" s="51"/>
      <c r="AV1481" s="51"/>
    </row>
    <row r="1482" spans="46:48">
      <c r="AT1482" s="51"/>
      <c r="AV1482" s="51"/>
    </row>
    <row r="1483" spans="46:48">
      <c r="AT1483" s="51"/>
      <c r="AV1483" s="51"/>
    </row>
    <row r="1484" spans="46:48">
      <c r="AT1484" s="51"/>
      <c r="AV1484" s="51"/>
    </row>
    <row r="1485" spans="46:48">
      <c r="AT1485" s="51"/>
      <c r="AV1485" s="51"/>
    </row>
    <row r="1486" spans="46:48">
      <c r="AT1486" s="51"/>
      <c r="AV1486" s="51"/>
    </row>
    <row r="1487" spans="46:48">
      <c r="AT1487" s="51"/>
      <c r="AV1487" s="51"/>
    </row>
    <row r="1488" spans="46:48">
      <c r="AT1488" s="51"/>
      <c r="AV1488" s="51"/>
    </row>
    <row r="1489" spans="46:48">
      <c r="AT1489" s="51"/>
      <c r="AV1489" s="51"/>
    </row>
    <row r="1490" spans="46:48">
      <c r="AT1490" s="51"/>
      <c r="AV1490" s="51"/>
    </row>
    <row r="1491" spans="46:48">
      <c r="AT1491" s="51"/>
      <c r="AV1491" s="51"/>
    </row>
    <row r="1492" spans="46:48">
      <c r="AT1492" s="51"/>
      <c r="AV1492" s="51"/>
    </row>
    <row r="1493" spans="46:48">
      <c r="AT1493" s="51"/>
      <c r="AV1493" s="51"/>
    </row>
    <row r="1494" spans="46:48">
      <c r="AT1494" s="51"/>
      <c r="AV1494" s="51"/>
    </row>
    <row r="1495" spans="46:48">
      <c r="AT1495" s="51"/>
      <c r="AV1495" s="51"/>
    </row>
    <row r="1496" spans="46:48">
      <c r="AT1496" s="51"/>
      <c r="AV1496" s="51"/>
    </row>
    <row r="1497" spans="46:48">
      <c r="AT1497" s="51"/>
      <c r="AV1497" s="51"/>
    </row>
    <row r="1498" spans="46:48">
      <c r="AT1498" s="51"/>
      <c r="AV1498" s="51"/>
    </row>
    <row r="1499" spans="46:48">
      <c r="AT1499" s="51"/>
      <c r="AV1499" s="51"/>
    </row>
    <row r="1500" spans="46:48">
      <c r="AT1500" s="51"/>
      <c r="AV1500" s="51"/>
    </row>
    <row r="1501" spans="46:48">
      <c r="AT1501" s="51"/>
      <c r="AV1501" s="51"/>
    </row>
    <row r="1502" spans="46:48">
      <c r="AT1502" s="51"/>
      <c r="AV1502" s="51"/>
    </row>
    <row r="1503" spans="46:48">
      <c r="AT1503" s="51"/>
      <c r="AV1503" s="51"/>
    </row>
    <row r="1504" spans="46:48">
      <c r="AT1504" s="51"/>
      <c r="AV1504" s="51"/>
    </row>
    <row r="1505" spans="46:48">
      <c r="AT1505" s="51"/>
      <c r="AV1505" s="51"/>
    </row>
    <row r="1506" spans="46:48">
      <c r="AT1506" s="51"/>
      <c r="AV1506" s="51"/>
    </row>
    <row r="1507" spans="46:48">
      <c r="AT1507" s="51"/>
      <c r="AV1507" s="51"/>
    </row>
    <row r="1508" spans="46:48">
      <c r="AT1508" s="51"/>
      <c r="AV1508" s="51"/>
    </row>
    <row r="1509" spans="46:48">
      <c r="AT1509" s="51"/>
      <c r="AV1509" s="51"/>
    </row>
    <row r="1510" spans="46:48">
      <c r="AT1510" s="51"/>
      <c r="AV1510" s="51"/>
    </row>
    <row r="1511" spans="46:48">
      <c r="AT1511" s="51"/>
      <c r="AV1511" s="51"/>
    </row>
    <row r="1512" spans="46:48">
      <c r="AT1512" s="51"/>
      <c r="AV1512" s="51"/>
    </row>
    <row r="1513" spans="46:48">
      <c r="AT1513" s="51"/>
      <c r="AV1513" s="51"/>
    </row>
    <row r="1514" spans="46:48">
      <c r="AT1514" s="51"/>
      <c r="AV1514" s="51"/>
    </row>
    <row r="1515" spans="46:48">
      <c r="AT1515" s="51"/>
      <c r="AV1515" s="51"/>
    </row>
    <row r="1516" spans="46:48">
      <c r="AT1516" s="51"/>
      <c r="AV1516" s="51"/>
    </row>
    <row r="1517" spans="46:48">
      <c r="AT1517" s="51"/>
      <c r="AV1517" s="51"/>
    </row>
    <row r="1518" spans="46:48">
      <c r="AT1518" s="51"/>
      <c r="AV1518" s="51"/>
    </row>
    <row r="1519" spans="46:48">
      <c r="AT1519" s="51"/>
      <c r="AV1519" s="51"/>
    </row>
    <row r="1520" spans="46:48">
      <c r="AT1520" s="51"/>
      <c r="AV1520" s="51"/>
    </row>
    <row r="1521" spans="46:48">
      <c r="AT1521" s="51"/>
      <c r="AV1521" s="51"/>
    </row>
    <row r="1522" spans="46:48">
      <c r="AT1522" s="51"/>
      <c r="AV1522" s="51"/>
    </row>
    <row r="1523" spans="46:48">
      <c r="AT1523" s="51"/>
      <c r="AV1523" s="51"/>
    </row>
    <row r="1524" spans="46:48">
      <c r="AT1524" s="51"/>
      <c r="AV1524" s="51"/>
    </row>
    <row r="1525" spans="46:48">
      <c r="AT1525" s="51"/>
      <c r="AV1525" s="51"/>
    </row>
    <row r="1526" spans="46:48">
      <c r="AT1526" s="51"/>
      <c r="AV1526" s="51"/>
    </row>
    <row r="1527" spans="46:48">
      <c r="AT1527" s="51"/>
      <c r="AV1527" s="51"/>
    </row>
    <row r="1528" spans="46:48">
      <c r="AT1528" s="51"/>
      <c r="AV1528" s="51"/>
    </row>
    <row r="1529" spans="46:48">
      <c r="AT1529" s="51"/>
      <c r="AV1529" s="51"/>
    </row>
    <row r="1530" spans="46:48">
      <c r="AT1530" s="51"/>
      <c r="AV1530" s="51"/>
    </row>
    <row r="1531" spans="46:48">
      <c r="AT1531" s="51"/>
      <c r="AV1531" s="51"/>
    </row>
    <row r="1532" spans="46:48">
      <c r="AT1532" s="51"/>
      <c r="AV1532" s="51"/>
    </row>
    <row r="1533" spans="46:48">
      <c r="AT1533" s="51"/>
      <c r="AV1533" s="51"/>
    </row>
    <row r="1534" spans="46:48">
      <c r="AT1534" s="51"/>
      <c r="AV1534" s="51"/>
    </row>
    <row r="1535" spans="46:48">
      <c r="AT1535" s="51"/>
      <c r="AV1535" s="51"/>
    </row>
    <row r="1536" spans="46:48">
      <c r="AT1536" s="51"/>
      <c r="AV1536" s="51"/>
    </row>
    <row r="1537" spans="46:48">
      <c r="AT1537" s="51"/>
      <c r="AV1537" s="51"/>
    </row>
    <row r="1538" spans="46:48">
      <c r="AT1538" s="51"/>
      <c r="AV1538" s="51"/>
    </row>
    <row r="1539" spans="46:48">
      <c r="AT1539" s="51"/>
      <c r="AV1539" s="51"/>
    </row>
    <row r="1540" spans="46:48">
      <c r="AT1540" s="51"/>
      <c r="AV1540" s="51"/>
    </row>
    <row r="1541" spans="46:48">
      <c r="AT1541" s="51"/>
      <c r="AV1541" s="51"/>
    </row>
    <row r="1542" spans="46:48">
      <c r="AT1542" s="51"/>
      <c r="AV1542" s="51"/>
    </row>
    <row r="1543" spans="46:48">
      <c r="AT1543" s="51"/>
      <c r="AV1543" s="51"/>
    </row>
    <row r="1544" spans="46:48">
      <c r="AT1544" s="51"/>
      <c r="AV1544" s="51"/>
    </row>
    <row r="1545" spans="46:48">
      <c r="AT1545" s="51"/>
      <c r="AV1545" s="51"/>
    </row>
    <row r="1546" spans="46:48">
      <c r="AT1546" s="51"/>
      <c r="AV1546" s="51"/>
    </row>
    <row r="1547" spans="46:48">
      <c r="AT1547" s="51"/>
      <c r="AV1547" s="51"/>
    </row>
    <row r="1548" spans="46:48">
      <c r="AT1548" s="51"/>
      <c r="AV1548" s="51"/>
    </row>
    <row r="1549" spans="46:48">
      <c r="AT1549" s="51"/>
      <c r="AV1549" s="51"/>
    </row>
    <row r="1550" spans="46:48">
      <c r="AT1550" s="51"/>
      <c r="AV1550" s="51"/>
    </row>
    <row r="1551" spans="46:48">
      <c r="AT1551" s="51"/>
      <c r="AV1551" s="51"/>
    </row>
    <row r="1552" spans="46:48">
      <c r="AT1552" s="51"/>
      <c r="AV1552" s="51"/>
    </row>
    <row r="1553" spans="46:48">
      <c r="AT1553" s="51"/>
      <c r="AV1553" s="51"/>
    </row>
    <row r="1554" spans="46:48">
      <c r="AT1554" s="51"/>
      <c r="AV1554" s="51"/>
    </row>
    <row r="1555" spans="46:48">
      <c r="AT1555" s="51"/>
      <c r="AV1555" s="51"/>
    </row>
    <row r="1556" spans="46:48">
      <c r="AT1556" s="51"/>
      <c r="AV1556" s="51"/>
    </row>
    <row r="1557" spans="46:48">
      <c r="AT1557" s="51"/>
      <c r="AV1557" s="51"/>
    </row>
    <row r="1558" spans="46:48">
      <c r="AT1558" s="51"/>
      <c r="AV1558" s="51"/>
    </row>
    <row r="1559" spans="46:48">
      <c r="AT1559" s="51"/>
      <c r="AV1559" s="51"/>
    </row>
    <row r="1560" spans="46:48">
      <c r="AT1560" s="51"/>
      <c r="AV1560" s="51"/>
    </row>
    <row r="1561" spans="46:48">
      <c r="AT1561" s="51"/>
      <c r="AV1561" s="51"/>
    </row>
    <row r="1562" spans="46:48">
      <c r="AT1562" s="51"/>
      <c r="AV1562" s="51"/>
    </row>
    <row r="1563" spans="46:48">
      <c r="AT1563" s="51"/>
      <c r="AV1563" s="51"/>
    </row>
    <row r="1564" spans="46:48">
      <c r="AT1564" s="51"/>
      <c r="AV1564" s="51"/>
    </row>
    <row r="1565" spans="46:48">
      <c r="AT1565" s="51"/>
      <c r="AV1565" s="51"/>
    </row>
    <row r="1566" spans="46:48">
      <c r="AT1566" s="51"/>
      <c r="AV1566" s="51"/>
    </row>
    <row r="1567" spans="46:48">
      <c r="AT1567" s="51"/>
      <c r="AV1567" s="51"/>
    </row>
    <row r="1568" spans="46:48">
      <c r="AT1568" s="51"/>
      <c r="AV1568" s="51"/>
    </row>
    <row r="1569" spans="46:48">
      <c r="AT1569" s="51"/>
      <c r="AV1569" s="51"/>
    </row>
    <row r="1570" spans="46:48">
      <c r="AT1570" s="51"/>
      <c r="AV1570" s="51"/>
    </row>
    <row r="1571" spans="46:48">
      <c r="AT1571" s="51"/>
      <c r="AV1571" s="51"/>
    </row>
    <row r="1572" spans="46:48">
      <c r="AT1572" s="51"/>
      <c r="AV1572" s="51"/>
    </row>
    <row r="1573" spans="46:48">
      <c r="AT1573" s="51"/>
      <c r="AV1573" s="51"/>
    </row>
    <row r="1574" spans="46:48">
      <c r="AT1574" s="51"/>
      <c r="AV1574" s="51"/>
    </row>
    <row r="1575" spans="46:48">
      <c r="AT1575" s="51"/>
      <c r="AV1575" s="51"/>
    </row>
    <row r="1576" spans="46:48">
      <c r="AT1576" s="51"/>
      <c r="AV1576" s="51"/>
    </row>
    <row r="1577" spans="46:48">
      <c r="AT1577" s="51"/>
      <c r="AV1577" s="51"/>
    </row>
    <row r="1578" spans="46:48">
      <c r="AT1578" s="51"/>
      <c r="AV1578" s="51"/>
    </row>
    <row r="1579" spans="46:48">
      <c r="AT1579" s="51"/>
      <c r="AV1579" s="51"/>
    </row>
    <row r="1580" spans="46:48">
      <c r="AT1580" s="51"/>
      <c r="AV1580" s="51"/>
    </row>
    <row r="1581" spans="46:48">
      <c r="AT1581" s="51"/>
      <c r="AV1581" s="51"/>
    </row>
    <row r="1582" spans="46:48">
      <c r="AT1582" s="51"/>
      <c r="AV1582" s="51"/>
    </row>
    <row r="1583" spans="46:48">
      <c r="AT1583" s="51"/>
      <c r="AV1583" s="51"/>
    </row>
    <row r="1584" spans="46:48">
      <c r="AT1584" s="51"/>
      <c r="AV1584" s="51"/>
    </row>
    <row r="1585" spans="46:48">
      <c r="AT1585" s="51"/>
      <c r="AV1585" s="51"/>
    </row>
    <row r="1586" spans="46:48">
      <c r="AT1586" s="51"/>
      <c r="AV1586" s="51"/>
    </row>
    <row r="1587" spans="46:48">
      <c r="AT1587" s="51"/>
      <c r="AV1587" s="51"/>
    </row>
    <row r="1588" spans="46:48">
      <c r="AT1588" s="51"/>
      <c r="AV1588" s="51"/>
    </row>
    <row r="1589" spans="46:48">
      <c r="AT1589" s="51"/>
      <c r="AV1589" s="51"/>
    </row>
    <row r="1590" spans="46:48">
      <c r="AT1590" s="51"/>
      <c r="AV1590" s="51"/>
    </row>
    <row r="1591" spans="46:48">
      <c r="AT1591" s="51"/>
      <c r="AV1591" s="51"/>
    </row>
    <row r="1592" spans="46:48">
      <c r="AT1592" s="51"/>
      <c r="AV1592" s="51"/>
    </row>
    <row r="1593" spans="46:48">
      <c r="AT1593" s="51"/>
      <c r="AV1593" s="51"/>
    </row>
    <row r="1594" spans="46:48">
      <c r="AT1594" s="51"/>
      <c r="AV1594" s="51"/>
    </row>
    <row r="1595" spans="46:48">
      <c r="AT1595" s="51"/>
      <c r="AV1595" s="51"/>
    </row>
    <row r="1596" spans="46:48">
      <c r="AT1596" s="51"/>
      <c r="AV1596" s="51"/>
    </row>
    <row r="1597" spans="46:48">
      <c r="AT1597" s="51"/>
      <c r="AV1597" s="51"/>
    </row>
    <row r="1598" spans="46:48">
      <c r="AT1598" s="51"/>
      <c r="AV1598" s="51"/>
    </row>
    <row r="1599" spans="46:48">
      <c r="AT1599" s="51"/>
      <c r="AV1599" s="51"/>
    </row>
    <row r="1600" spans="46:48">
      <c r="AT1600" s="51"/>
      <c r="AV1600" s="51"/>
    </row>
    <row r="1601" spans="46:48">
      <c r="AT1601" s="51"/>
      <c r="AV1601" s="51"/>
    </row>
    <row r="1602" spans="46:48">
      <c r="AT1602" s="51"/>
      <c r="AV1602" s="51"/>
    </row>
    <row r="1603" spans="46:48">
      <c r="AT1603" s="51"/>
      <c r="AV1603" s="51"/>
    </row>
    <row r="1604" spans="46:48">
      <c r="AT1604" s="51"/>
      <c r="AV1604" s="51"/>
    </row>
    <row r="1605" spans="46:48">
      <c r="AT1605" s="51"/>
      <c r="AV1605" s="51"/>
    </row>
    <row r="1606" spans="46:48">
      <c r="AT1606" s="51"/>
      <c r="AV1606" s="51"/>
    </row>
    <row r="1607" spans="46:48">
      <c r="AT1607" s="51"/>
      <c r="AV1607" s="51"/>
    </row>
    <row r="1608" spans="46:48">
      <c r="AT1608" s="51"/>
      <c r="AV1608" s="51"/>
    </row>
    <row r="1609" spans="46:48">
      <c r="AT1609" s="51"/>
      <c r="AV1609" s="51"/>
    </row>
    <row r="1610" spans="46:48">
      <c r="AT1610" s="51"/>
      <c r="AV1610" s="51"/>
    </row>
    <row r="1611" spans="46:48">
      <c r="AT1611" s="51"/>
      <c r="AV1611" s="51"/>
    </row>
    <row r="1612" spans="46:48">
      <c r="AT1612" s="51"/>
      <c r="AV1612" s="51"/>
    </row>
    <row r="1613" spans="46:48">
      <c r="AT1613" s="51"/>
      <c r="AV1613" s="51"/>
    </row>
    <row r="1614" spans="46:48">
      <c r="AT1614" s="51"/>
      <c r="AV1614" s="51"/>
    </row>
    <row r="1615" spans="46:48">
      <c r="AT1615" s="51"/>
      <c r="AV1615" s="51"/>
    </row>
    <row r="1616" spans="46:48">
      <c r="AT1616" s="51"/>
      <c r="AV1616" s="51"/>
    </row>
    <row r="1617" spans="46:48">
      <c r="AT1617" s="51"/>
      <c r="AV1617" s="51"/>
    </row>
    <row r="1618" spans="46:48">
      <c r="AT1618" s="51"/>
      <c r="AV1618" s="51"/>
    </row>
    <row r="1619" spans="46:48">
      <c r="AT1619" s="51"/>
      <c r="AV1619" s="51"/>
    </row>
    <row r="1620" spans="46:48">
      <c r="AT1620" s="51"/>
      <c r="AV1620" s="51"/>
    </row>
    <row r="1621" spans="46:48">
      <c r="AT1621" s="51"/>
      <c r="AV1621" s="51"/>
    </row>
    <row r="1622" spans="46:48">
      <c r="AT1622" s="51"/>
      <c r="AV1622" s="51"/>
    </row>
    <row r="1623" spans="46:48">
      <c r="AT1623" s="51"/>
      <c r="AV1623" s="51"/>
    </row>
    <row r="1624" spans="46:48">
      <c r="AT1624" s="51"/>
      <c r="AV1624" s="51"/>
    </row>
    <row r="1625" spans="46:48">
      <c r="AT1625" s="51"/>
      <c r="AV1625" s="51"/>
    </row>
    <row r="1626" spans="46:48">
      <c r="AT1626" s="51"/>
      <c r="AV1626" s="51"/>
    </row>
    <row r="1627" spans="46:48">
      <c r="AT1627" s="51"/>
      <c r="AV1627" s="51"/>
    </row>
    <row r="1628" spans="46:48">
      <c r="AT1628" s="51"/>
      <c r="AV1628" s="51"/>
    </row>
    <row r="1629" spans="46:48">
      <c r="AT1629" s="51"/>
      <c r="AV1629" s="51"/>
    </row>
    <row r="1630" spans="46:48">
      <c r="AT1630" s="51"/>
      <c r="AV1630" s="51"/>
    </row>
    <row r="1631" spans="46:48">
      <c r="AT1631" s="51"/>
      <c r="AV1631" s="51"/>
    </row>
    <row r="1632" spans="46:48">
      <c r="AT1632" s="51"/>
      <c r="AV1632" s="51"/>
    </row>
    <row r="1633" spans="46:48">
      <c r="AT1633" s="51"/>
      <c r="AV1633" s="51"/>
    </row>
    <row r="1634" spans="46:48">
      <c r="AT1634" s="51"/>
      <c r="AV1634" s="51"/>
    </row>
    <row r="1635" spans="46:48">
      <c r="AT1635" s="51"/>
      <c r="AV1635" s="51"/>
    </row>
    <row r="1636" spans="46:48">
      <c r="AT1636" s="51"/>
      <c r="AV1636" s="51"/>
    </row>
    <row r="1637" spans="46:48">
      <c r="AT1637" s="51"/>
      <c r="AV1637" s="51"/>
    </row>
    <row r="1638" spans="46:48">
      <c r="AT1638" s="51"/>
      <c r="AV1638" s="51"/>
    </row>
    <row r="1639" spans="46:48">
      <c r="AT1639" s="51"/>
      <c r="AV1639" s="51"/>
    </row>
    <row r="1640" spans="46:48">
      <c r="AT1640" s="51"/>
      <c r="AV1640" s="51"/>
    </row>
    <row r="1641" spans="46:48">
      <c r="AT1641" s="51"/>
      <c r="AV1641" s="51"/>
    </row>
    <row r="1642" spans="46:48">
      <c r="AT1642" s="51"/>
      <c r="AV1642" s="51"/>
    </row>
    <row r="1643" spans="46:48">
      <c r="AT1643" s="51"/>
      <c r="AV1643" s="51"/>
    </row>
    <row r="1644" spans="46:48">
      <c r="AT1644" s="51"/>
      <c r="AV1644" s="51"/>
    </row>
    <row r="1645" spans="46:48">
      <c r="AT1645" s="51"/>
      <c r="AV1645" s="51"/>
    </row>
    <row r="1646" spans="46:48">
      <c r="AT1646" s="51"/>
      <c r="AV1646" s="51"/>
    </row>
    <row r="1647" spans="46:48">
      <c r="AT1647" s="51"/>
      <c r="AV1647" s="51"/>
    </row>
    <row r="1648" spans="46:48">
      <c r="AT1648" s="51"/>
      <c r="AV1648" s="51"/>
    </row>
    <row r="1649" spans="46:48">
      <c r="AT1649" s="51"/>
      <c r="AV1649" s="51"/>
    </row>
    <row r="1650" spans="46:48">
      <c r="AT1650" s="51"/>
      <c r="AV1650" s="51"/>
    </row>
    <row r="1651" spans="46:48">
      <c r="AT1651" s="51"/>
      <c r="AV1651" s="51"/>
    </row>
    <row r="1652" spans="46:48">
      <c r="AT1652" s="51"/>
      <c r="AV1652" s="51"/>
    </row>
    <row r="1653" spans="46:48">
      <c r="AT1653" s="51"/>
      <c r="AV1653" s="51"/>
    </row>
    <row r="1654" spans="46:48">
      <c r="AT1654" s="51"/>
      <c r="AV1654" s="51"/>
    </row>
    <row r="1655" spans="46:48">
      <c r="AT1655" s="51"/>
      <c r="AV1655" s="51"/>
    </row>
    <row r="1656" spans="46:48">
      <c r="AT1656" s="51"/>
      <c r="AV1656" s="51"/>
    </row>
    <row r="1657" spans="46:48">
      <c r="AT1657" s="51"/>
      <c r="AV1657" s="51"/>
    </row>
    <row r="1658" spans="46:48">
      <c r="AT1658" s="51"/>
      <c r="AV1658" s="51"/>
    </row>
    <row r="1659" spans="46:48">
      <c r="AT1659" s="51"/>
      <c r="AV1659" s="51"/>
    </row>
    <row r="1660" spans="46:48">
      <c r="AT1660" s="51"/>
      <c r="AV1660" s="51"/>
    </row>
    <row r="1661" spans="46:48">
      <c r="AT1661" s="51"/>
      <c r="AV1661" s="51"/>
    </row>
    <row r="1662" spans="46:48">
      <c r="AT1662" s="51"/>
      <c r="AV1662" s="51"/>
    </row>
    <row r="1663" spans="46:48">
      <c r="AT1663" s="51"/>
      <c r="AV1663" s="51"/>
    </row>
    <row r="1664" spans="46:48">
      <c r="AT1664" s="51"/>
      <c r="AV1664" s="51"/>
    </row>
    <row r="1665" spans="46:48">
      <c r="AT1665" s="51"/>
      <c r="AV1665" s="51"/>
    </row>
    <row r="1666" spans="46:48">
      <c r="AT1666" s="51"/>
      <c r="AV1666" s="51"/>
    </row>
    <row r="1667" spans="46:48">
      <c r="AT1667" s="51"/>
      <c r="AV1667" s="51"/>
    </row>
    <row r="1668" spans="46:48">
      <c r="AT1668" s="51"/>
      <c r="AV1668" s="51"/>
    </row>
    <row r="1669" spans="46:48">
      <c r="AT1669" s="51"/>
      <c r="AV1669" s="51"/>
    </row>
    <row r="1670" spans="46:48">
      <c r="AT1670" s="51"/>
      <c r="AV1670" s="51"/>
    </row>
    <row r="1671" spans="46:48">
      <c r="AT1671" s="51"/>
      <c r="AV1671" s="51"/>
    </row>
    <row r="1672" spans="46:48">
      <c r="AT1672" s="51"/>
      <c r="AV1672" s="51"/>
    </row>
    <row r="1673" spans="46:48">
      <c r="AT1673" s="51"/>
      <c r="AV1673" s="51"/>
    </row>
    <row r="1674" spans="46:48">
      <c r="AT1674" s="51"/>
      <c r="AV1674" s="51"/>
    </row>
    <row r="1675" spans="46:48">
      <c r="AT1675" s="51"/>
      <c r="AV1675" s="51"/>
    </row>
    <row r="1676" spans="46:48">
      <c r="AT1676" s="51"/>
      <c r="AV1676" s="51"/>
    </row>
    <row r="1677" spans="46:48">
      <c r="AT1677" s="51"/>
      <c r="AV1677" s="51"/>
    </row>
    <row r="1678" spans="46:48">
      <c r="AT1678" s="51"/>
      <c r="AV1678" s="51"/>
    </row>
    <row r="1679" spans="46:48">
      <c r="AT1679" s="51"/>
      <c r="AV1679" s="51"/>
    </row>
    <row r="1680" spans="46:48">
      <c r="AT1680" s="51"/>
      <c r="AV1680" s="51"/>
    </row>
    <row r="1681" spans="46:48">
      <c r="AT1681" s="51"/>
      <c r="AV1681" s="51"/>
    </row>
    <row r="1682" spans="46:48">
      <c r="AT1682" s="51"/>
      <c r="AV1682" s="51"/>
    </row>
    <row r="1683" spans="46:48">
      <c r="AT1683" s="51"/>
      <c r="AV1683" s="51"/>
    </row>
    <row r="1684" spans="46:48">
      <c r="AT1684" s="51"/>
      <c r="AV1684" s="51"/>
    </row>
    <row r="1685" spans="46:48">
      <c r="AT1685" s="51"/>
      <c r="AV1685" s="51"/>
    </row>
    <row r="1686" spans="46:48">
      <c r="AT1686" s="51"/>
      <c r="AV1686" s="51"/>
    </row>
    <row r="1687" spans="46:48">
      <c r="AT1687" s="51"/>
      <c r="AV1687" s="51"/>
    </row>
    <row r="1688" spans="46:48">
      <c r="AT1688" s="51"/>
      <c r="AV1688" s="51"/>
    </row>
    <row r="1689" spans="46:48">
      <c r="AT1689" s="51"/>
      <c r="AV1689" s="51"/>
    </row>
    <row r="1690" spans="46:48">
      <c r="AT1690" s="51"/>
      <c r="AV1690" s="51"/>
    </row>
    <row r="1691" spans="46:48">
      <c r="AT1691" s="51"/>
      <c r="AV1691" s="51"/>
    </row>
    <row r="1692" spans="46:48">
      <c r="AT1692" s="51"/>
      <c r="AV1692" s="51"/>
    </row>
    <row r="1693" spans="46:48">
      <c r="AT1693" s="51"/>
      <c r="AV1693" s="51"/>
    </row>
    <row r="1694" spans="46:48">
      <c r="AT1694" s="51"/>
      <c r="AV1694" s="51"/>
    </row>
    <row r="1695" spans="46:48">
      <c r="AT1695" s="51"/>
      <c r="AV1695" s="51"/>
    </row>
    <row r="1696" spans="46:48">
      <c r="AT1696" s="51"/>
      <c r="AV1696" s="51"/>
    </row>
    <row r="1697" spans="46:48">
      <c r="AT1697" s="51"/>
      <c r="AV1697" s="51"/>
    </row>
    <row r="1698" spans="46:48">
      <c r="AT1698" s="51"/>
      <c r="AV1698" s="51"/>
    </row>
    <row r="1699" spans="46:48">
      <c r="AT1699" s="51"/>
      <c r="AV1699" s="51"/>
    </row>
    <row r="1700" spans="46:48">
      <c r="AT1700" s="51"/>
      <c r="AV1700" s="51"/>
    </row>
    <row r="1701" spans="46:48">
      <c r="AT1701" s="51"/>
      <c r="AV1701" s="51"/>
    </row>
    <row r="1702" spans="46:48">
      <c r="AT1702" s="51"/>
      <c r="AV1702" s="51"/>
    </row>
    <row r="1703" spans="46:48">
      <c r="AT1703" s="51"/>
      <c r="AV1703" s="51"/>
    </row>
    <row r="1704" spans="46:48">
      <c r="AT1704" s="51"/>
      <c r="AV1704" s="51"/>
    </row>
    <row r="1705" spans="46:48">
      <c r="AT1705" s="51"/>
      <c r="AV1705" s="51"/>
    </row>
    <row r="1706" spans="46:48">
      <c r="AT1706" s="51"/>
      <c r="AV1706" s="51"/>
    </row>
    <row r="1707" spans="46:48">
      <c r="AT1707" s="51"/>
      <c r="AV1707" s="51"/>
    </row>
    <row r="1708" spans="46:48">
      <c r="AT1708" s="51"/>
      <c r="AV1708" s="51"/>
    </row>
    <row r="1709" spans="46:48">
      <c r="AT1709" s="51"/>
      <c r="AV1709" s="51"/>
    </row>
    <row r="1710" spans="46:48">
      <c r="AT1710" s="51"/>
      <c r="AV1710" s="51"/>
    </row>
    <row r="1711" spans="46:48">
      <c r="AT1711" s="51"/>
      <c r="AV1711" s="51"/>
    </row>
    <row r="1712" spans="46:48">
      <c r="AT1712" s="51"/>
      <c r="AV1712" s="51"/>
    </row>
    <row r="1713" spans="46:48">
      <c r="AT1713" s="51"/>
      <c r="AV1713" s="51"/>
    </row>
    <row r="1714" spans="46:48">
      <c r="AT1714" s="51"/>
      <c r="AV1714" s="51"/>
    </row>
    <row r="1715" spans="46:48">
      <c r="AT1715" s="51"/>
      <c r="AV1715" s="51"/>
    </row>
    <row r="1716" spans="46:48">
      <c r="AT1716" s="51"/>
      <c r="AV1716" s="51"/>
    </row>
    <row r="1717" spans="46:48">
      <c r="AT1717" s="51"/>
      <c r="AV1717" s="51"/>
    </row>
    <row r="1718" spans="46:48">
      <c r="AT1718" s="51"/>
      <c r="AV1718" s="51"/>
    </row>
    <row r="1719" spans="46:48">
      <c r="AT1719" s="51"/>
      <c r="AV1719" s="51"/>
    </row>
    <row r="1720" spans="46:48">
      <c r="AT1720" s="51"/>
      <c r="AV1720" s="51"/>
    </row>
    <row r="1721" spans="46:48">
      <c r="AT1721" s="51"/>
      <c r="AV1721" s="51"/>
    </row>
    <row r="1722" spans="46:48">
      <c r="AT1722" s="51"/>
      <c r="AV1722" s="51"/>
    </row>
    <row r="1723" spans="46:48">
      <c r="AT1723" s="51"/>
      <c r="AV1723" s="51"/>
    </row>
    <row r="1724" spans="46:48">
      <c r="AT1724" s="51"/>
      <c r="AV1724" s="51"/>
    </row>
    <row r="1725" spans="46:48">
      <c r="AT1725" s="51"/>
      <c r="AV1725" s="51"/>
    </row>
    <row r="1726" spans="46:48">
      <c r="AT1726" s="51"/>
      <c r="AV1726" s="51"/>
    </row>
    <row r="1727" spans="46:48">
      <c r="AT1727" s="51"/>
      <c r="AV1727" s="51"/>
    </row>
    <row r="1728" spans="46:48">
      <c r="AT1728" s="51"/>
      <c r="AV1728" s="51"/>
    </row>
    <row r="1729" spans="46:48">
      <c r="AT1729" s="51"/>
      <c r="AV1729" s="51"/>
    </row>
    <row r="1730" spans="46:48">
      <c r="AT1730" s="51"/>
      <c r="AV1730" s="51"/>
    </row>
    <row r="1731" spans="46:48">
      <c r="AT1731" s="51"/>
      <c r="AV1731" s="51"/>
    </row>
    <row r="1732" spans="46:48">
      <c r="AT1732" s="51"/>
      <c r="AV1732" s="51"/>
    </row>
    <row r="1733" spans="46:48">
      <c r="AT1733" s="51"/>
      <c r="AV1733" s="51"/>
    </row>
    <row r="1734" spans="46:48">
      <c r="AT1734" s="51"/>
      <c r="AV1734" s="51"/>
    </row>
    <row r="1735" spans="46:48">
      <c r="AT1735" s="51"/>
      <c r="AV1735" s="51"/>
    </row>
    <row r="1736" spans="46:48">
      <c r="AT1736" s="51"/>
      <c r="AV1736" s="51"/>
    </row>
    <row r="1737" spans="46:48">
      <c r="AT1737" s="51"/>
      <c r="AV1737" s="51"/>
    </row>
    <row r="1738" spans="46:48">
      <c r="AT1738" s="51"/>
      <c r="AV1738" s="51"/>
    </row>
    <row r="1739" spans="46:48">
      <c r="AT1739" s="51"/>
      <c r="AV1739" s="51"/>
    </row>
    <row r="1740" spans="46:48">
      <c r="AT1740" s="51"/>
      <c r="AV1740" s="51"/>
    </row>
    <row r="1741" spans="46:48">
      <c r="AT1741" s="51"/>
      <c r="AV1741" s="51"/>
    </row>
    <row r="1742" spans="46:48">
      <c r="AT1742" s="51"/>
      <c r="AV1742" s="51"/>
    </row>
    <row r="1743" spans="46:48">
      <c r="AT1743" s="51"/>
      <c r="AV1743" s="51"/>
    </row>
    <row r="1744" spans="46:48">
      <c r="AT1744" s="51"/>
      <c r="AV1744" s="51"/>
    </row>
    <row r="1745" spans="46:48">
      <c r="AT1745" s="51"/>
      <c r="AV1745" s="51"/>
    </row>
    <row r="1746" spans="46:48">
      <c r="AT1746" s="51"/>
      <c r="AV1746" s="51"/>
    </row>
    <row r="1747" spans="46:48">
      <c r="AT1747" s="51"/>
      <c r="AV1747" s="51"/>
    </row>
    <row r="1748" spans="46:48">
      <c r="AT1748" s="51"/>
      <c r="AV1748" s="51"/>
    </row>
    <row r="1749" spans="46:48">
      <c r="AT1749" s="51"/>
      <c r="AV1749" s="51"/>
    </row>
    <row r="1750" spans="46:48">
      <c r="AT1750" s="51"/>
      <c r="AV1750" s="51"/>
    </row>
    <row r="1751" spans="46:48">
      <c r="AT1751" s="51"/>
      <c r="AV1751" s="51"/>
    </row>
    <row r="1752" spans="46:48">
      <c r="AT1752" s="51"/>
      <c r="AV1752" s="51"/>
    </row>
    <row r="1753" spans="46:48">
      <c r="AT1753" s="51"/>
      <c r="AV1753" s="51"/>
    </row>
    <row r="1754" spans="46:48">
      <c r="AT1754" s="51"/>
      <c r="AV1754" s="51"/>
    </row>
    <row r="1755" spans="46:48">
      <c r="AT1755" s="51"/>
      <c r="AV1755" s="51"/>
    </row>
    <row r="1756" spans="46:48">
      <c r="AT1756" s="51"/>
      <c r="AV1756" s="51"/>
    </row>
    <row r="1757" spans="46:48">
      <c r="AT1757" s="51"/>
      <c r="AV1757" s="51"/>
    </row>
    <row r="1758" spans="46:48">
      <c r="AT1758" s="51"/>
      <c r="AV1758" s="51"/>
    </row>
    <row r="1759" spans="46:48">
      <c r="AT1759" s="51"/>
      <c r="AV1759" s="51"/>
    </row>
    <row r="1760" spans="46:48">
      <c r="AT1760" s="51"/>
      <c r="AV1760" s="51"/>
    </row>
    <row r="1761" spans="46:48">
      <c r="AT1761" s="51"/>
      <c r="AV1761" s="51"/>
    </row>
    <row r="1762" spans="46:48">
      <c r="AT1762" s="51"/>
      <c r="AV1762" s="51"/>
    </row>
    <row r="1763" spans="46:48">
      <c r="AT1763" s="51"/>
      <c r="AV1763" s="51"/>
    </row>
    <row r="1764" spans="46:48">
      <c r="AT1764" s="51"/>
      <c r="AV1764" s="51"/>
    </row>
    <row r="1765" spans="46:48">
      <c r="AT1765" s="51"/>
      <c r="AV1765" s="51"/>
    </row>
    <row r="1766" spans="46:48">
      <c r="AT1766" s="51"/>
      <c r="AV1766" s="51"/>
    </row>
    <row r="1767" spans="46:48">
      <c r="AT1767" s="51"/>
      <c r="AV1767" s="51"/>
    </row>
    <row r="1768" spans="46:48">
      <c r="AT1768" s="51"/>
      <c r="AV1768" s="51"/>
    </row>
    <row r="1769" spans="46:48">
      <c r="AT1769" s="51"/>
      <c r="AV1769" s="51"/>
    </row>
    <row r="1770" spans="46:48">
      <c r="AT1770" s="51"/>
      <c r="AV1770" s="51"/>
    </row>
    <row r="1771" spans="46:48">
      <c r="AT1771" s="51"/>
      <c r="AV1771" s="51"/>
    </row>
    <row r="1772" spans="46:48">
      <c r="AT1772" s="51"/>
      <c r="AV1772" s="51"/>
    </row>
    <row r="1773" spans="46:48">
      <c r="AT1773" s="51"/>
      <c r="AV1773" s="51"/>
    </row>
    <row r="1774" spans="46:48">
      <c r="AT1774" s="51"/>
      <c r="AV1774" s="51"/>
    </row>
    <row r="1775" spans="46:48">
      <c r="AT1775" s="51"/>
      <c r="AV1775" s="51"/>
    </row>
    <row r="1776" spans="46:48">
      <c r="AT1776" s="51"/>
      <c r="AV1776" s="51"/>
    </row>
    <row r="1777" spans="46:48">
      <c r="AT1777" s="51"/>
      <c r="AV1777" s="51"/>
    </row>
    <row r="1778" spans="46:48">
      <c r="AT1778" s="51"/>
      <c r="AV1778" s="51"/>
    </row>
    <row r="1779" spans="46:48">
      <c r="AT1779" s="51"/>
      <c r="AV1779" s="51"/>
    </row>
    <row r="1780" spans="46:48">
      <c r="AT1780" s="51"/>
      <c r="AV1780" s="51"/>
    </row>
    <row r="1781" spans="46:48">
      <c r="AT1781" s="51"/>
      <c r="AV1781" s="51"/>
    </row>
    <row r="1782" spans="46:48">
      <c r="AT1782" s="51"/>
      <c r="AV1782" s="51"/>
    </row>
    <row r="1783" spans="46:48">
      <c r="AT1783" s="51"/>
      <c r="AV1783" s="51"/>
    </row>
    <row r="1784" spans="46:48">
      <c r="AT1784" s="51"/>
      <c r="AV1784" s="51"/>
    </row>
    <row r="1785" spans="46:48">
      <c r="AT1785" s="51"/>
      <c r="AV1785" s="51"/>
    </row>
    <row r="1786" spans="46:48">
      <c r="AT1786" s="51"/>
      <c r="AV1786" s="51"/>
    </row>
    <row r="1787" spans="46:48">
      <c r="AT1787" s="51"/>
      <c r="AV1787" s="51"/>
    </row>
    <row r="1788" spans="46:48">
      <c r="AT1788" s="51"/>
      <c r="AV1788" s="51"/>
    </row>
    <row r="1789" spans="46:48">
      <c r="AT1789" s="51"/>
      <c r="AV1789" s="51"/>
    </row>
    <row r="1790" spans="46:48">
      <c r="AT1790" s="51"/>
      <c r="AV1790" s="51"/>
    </row>
    <row r="1791" spans="46:48">
      <c r="AT1791" s="51"/>
      <c r="AV1791" s="51"/>
    </row>
    <row r="1792" spans="46:48">
      <c r="AT1792" s="51"/>
      <c r="AV1792" s="51"/>
    </row>
    <row r="1793" spans="46:48">
      <c r="AT1793" s="51"/>
      <c r="AV1793" s="51"/>
    </row>
    <row r="1794" spans="46:48">
      <c r="AT1794" s="51"/>
      <c r="AV1794" s="51"/>
    </row>
    <row r="1795" spans="46:48">
      <c r="AT1795" s="51"/>
      <c r="AV1795" s="51"/>
    </row>
    <row r="1796" spans="46:48">
      <c r="AT1796" s="51"/>
      <c r="AV1796" s="51"/>
    </row>
    <row r="1797" spans="46:48">
      <c r="AT1797" s="51"/>
      <c r="AV1797" s="51"/>
    </row>
    <row r="1798" spans="46:48">
      <c r="AT1798" s="51"/>
      <c r="AV1798" s="51"/>
    </row>
    <row r="1799" spans="46:48">
      <c r="AT1799" s="51"/>
      <c r="AV1799" s="51"/>
    </row>
    <row r="1800" spans="46:48">
      <c r="AT1800" s="51"/>
      <c r="AV1800" s="51"/>
    </row>
    <row r="1801" spans="46:48">
      <c r="AT1801" s="51"/>
      <c r="AV1801" s="51"/>
    </row>
    <row r="1802" spans="46:48">
      <c r="AT1802" s="51"/>
      <c r="AV1802" s="51"/>
    </row>
    <row r="1803" spans="46:48">
      <c r="AT1803" s="51"/>
      <c r="AV1803" s="51"/>
    </row>
    <row r="1804" spans="46:48">
      <c r="AT1804" s="51"/>
      <c r="AV1804" s="51"/>
    </row>
    <row r="1805" spans="46:48">
      <c r="AT1805" s="51"/>
      <c r="AV1805" s="51"/>
    </row>
    <row r="1806" spans="46:48">
      <c r="AT1806" s="51"/>
      <c r="AV1806" s="51"/>
    </row>
    <row r="1807" spans="46:48">
      <c r="AT1807" s="51"/>
      <c r="AV1807" s="51"/>
    </row>
    <row r="1808" spans="46:48">
      <c r="AT1808" s="51"/>
      <c r="AV1808" s="51"/>
    </row>
    <row r="1809" spans="46:48">
      <c r="AT1809" s="51"/>
      <c r="AV1809" s="51"/>
    </row>
    <row r="1810" spans="46:48">
      <c r="AT1810" s="51"/>
      <c r="AV1810" s="51"/>
    </row>
    <row r="1811" spans="46:48">
      <c r="AT1811" s="51"/>
      <c r="AV1811" s="51"/>
    </row>
    <row r="1812" spans="46:48">
      <c r="AT1812" s="51"/>
      <c r="AV1812" s="51"/>
    </row>
    <row r="1813" spans="46:48">
      <c r="AT1813" s="51"/>
      <c r="AV1813" s="51"/>
    </row>
    <row r="1814" spans="46:48">
      <c r="AT1814" s="51"/>
      <c r="AV1814" s="51"/>
    </row>
    <row r="1815" spans="46:48">
      <c r="AT1815" s="51"/>
      <c r="AV1815" s="51"/>
    </row>
    <row r="1816" spans="46:48">
      <c r="AT1816" s="51"/>
      <c r="AV1816" s="51"/>
    </row>
    <row r="1817" spans="46:48">
      <c r="AT1817" s="51"/>
      <c r="AV1817" s="51"/>
    </row>
    <row r="1818" spans="46:48">
      <c r="AT1818" s="51"/>
      <c r="AV1818" s="51"/>
    </row>
    <row r="1819" spans="46:48">
      <c r="AT1819" s="51"/>
      <c r="AV1819" s="51"/>
    </row>
    <row r="1820" spans="46:48">
      <c r="AT1820" s="51"/>
      <c r="AV1820" s="51"/>
    </row>
    <row r="1821" spans="46:48">
      <c r="AT1821" s="51"/>
      <c r="AV1821" s="51"/>
    </row>
    <row r="1822" spans="46:48">
      <c r="AT1822" s="51"/>
      <c r="AV1822" s="51"/>
    </row>
    <row r="1823" spans="46:48">
      <c r="AT1823" s="51"/>
      <c r="AV1823" s="51"/>
    </row>
    <row r="1824" spans="46:48">
      <c r="AT1824" s="51"/>
      <c r="AV1824" s="51"/>
    </row>
    <row r="1825" spans="46:48">
      <c r="AT1825" s="51"/>
      <c r="AV1825" s="51"/>
    </row>
    <row r="1826" spans="46:48">
      <c r="AT1826" s="51"/>
      <c r="AV1826" s="51"/>
    </row>
    <row r="1827" spans="46:48">
      <c r="AT1827" s="51"/>
      <c r="AV1827" s="51"/>
    </row>
    <row r="1828" spans="46:48">
      <c r="AT1828" s="51"/>
      <c r="AV1828" s="51"/>
    </row>
    <row r="1829" spans="46:48">
      <c r="AT1829" s="51"/>
      <c r="AV1829" s="51"/>
    </row>
    <row r="1830" spans="46:48">
      <c r="AT1830" s="51"/>
      <c r="AV1830" s="51"/>
    </row>
    <row r="1831" spans="46:48">
      <c r="AT1831" s="51"/>
      <c r="AV1831" s="51"/>
    </row>
    <row r="1832" spans="46:48">
      <c r="AT1832" s="51"/>
      <c r="AV1832" s="51"/>
    </row>
    <row r="1833" spans="46:48">
      <c r="AT1833" s="51"/>
      <c r="AV1833" s="51"/>
    </row>
    <row r="1834" spans="46:48">
      <c r="AT1834" s="51"/>
      <c r="AV1834" s="51"/>
    </row>
    <row r="1835" spans="46:48">
      <c r="AT1835" s="51"/>
      <c r="AV1835" s="51"/>
    </row>
    <row r="1836" spans="46:48">
      <c r="AT1836" s="51"/>
      <c r="AV1836" s="51"/>
    </row>
    <row r="1837" spans="46:48">
      <c r="AT1837" s="51"/>
      <c r="AV1837" s="51"/>
    </row>
    <row r="1838" spans="46:48">
      <c r="AT1838" s="51"/>
      <c r="AV1838" s="51"/>
    </row>
    <row r="1839" spans="46:48">
      <c r="AT1839" s="51"/>
      <c r="AV1839" s="51"/>
    </row>
    <row r="1840" spans="46:48">
      <c r="AT1840" s="51"/>
      <c r="AV1840" s="51"/>
    </row>
    <row r="1841" spans="46:48">
      <c r="AT1841" s="51"/>
      <c r="AV1841" s="51"/>
    </row>
    <row r="1842" spans="46:48">
      <c r="AT1842" s="51"/>
      <c r="AV1842" s="51"/>
    </row>
    <row r="1843" spans="46:48">
      <c r="AT1843" s="51"/>
      <c r="AV1843" s="51"/>
    </row>
    <row r="1844" spans="46:48">
      <c r="AT1844" s="51"/>
      <c r="AV1844" s="51"/>
    </row>
    <row r="1845" spans="46:48">
      <c r="AT1845" s="51"/>
      <c r="AV1845" s="51"/>
    </row>
    <row r="1846" spans="46:48">
      <c r="AT1846" s="51"/>
      <c r="AV1846" s="51"/>
    </row>
    <row r="1847" spans="46:48">
      <c r="AT1847" s="51"/>
      <c r="AV1847" s="51"/>
    </row>
    <row r="1848" spans="46:48">
      <c r="AT1848" s="51"/>
      <c r="AV1848" s="51"/>
    </row>
    <row r="1849" spans="46:48">
      <c r="AT1849" s="51"/>
      <c r="AV1849" s="51"/>
    </row>
    <row r="1850" spans="46:48">
      <c r="AT1850" s="51"/>
      <c r="AV1850" s="51"/>
    </row>
    <row r="1851" spans="46:48">
      <c r="AT1851" s="51"/>
      <c r="AV1851" s="51"/>
    </row>
    <row r="1852" spans="46:48">
      <c r="AT1852" s="51"/>
      <c r="AV1852" s="51"/>
    </row>
    <row r="1853" spans="46:48">
      <c r="AT1853" s="51"/>
      <c r="AV1853" s="51"/>
    </row>
    <row r="1854" spans="46:48">
      <c r="AT1854" s="51"/>
      <c r="AV1854" s="51"/>
    </row>
    <row r="1855" spans="46:48">
      <c r="AT1855" s="51"/>
      <c r="AV1855" s="51"/>
    </row>
    <row r="1856" spans="46:48">
      <c r="AT1856" s="51"/>
      <c r="AV1856" s="51"/>
    </row>
    <row r="1857" spans="46:48">
      <c r="AT1857" s="51"/>
      <c r="AV1857" s="51"/>
    </row>
    <row r="1858" spans="46:48">
      <c r="AT1858" s="51"/>
      <c r="AV1858" s="51"/>
    </row>
    <row r="1859" spans="46:48">
      <c r="AT1859" s="51"/>
      <c r="AV1859" s="51"/>
    </row>
    <row r="1860" spans="46:48">
      <c r="AT1860" s="51"/>
      <c r="AV1860" s="51"/>
    </row>
    <row r="1861" spans="46:48">
      <c r="AT1861" s="51"/>
      <c r="AV1861" s="51"/>
    </row>
    <row r="1862" spans="46:48">
      <c r="AT1862" s="51"/>
      <c r="AV1862" s="51"/>
    </row>
    <row r="1863" spans="46:48">
      <c r="AT1863" s="51"/>
      <c r="AV1863" s="51"/>
    </row>
    <row r="1864" spans="46:48">
      <c r="AT1864" s="51"/>
      <c r="AV1864" s="51"/>
    </row>
    <row r="1865" spans="46:48">
      <c r="AT1865" s="51"/>
      <c r="AV1865" s="51"/>
    </row>
    <row r="1866" spans="46:48">
      <c r="AT1866" s="51"/>
      <c r="AV1866" s="51"/>
    </row>
    <row r="1867" spans="46:48">
      <c r="AT1867" s="51"/>
      <c r="AV1867" s="51"/>
    </row>
    <row r="1868" spans="46:48">
      <c r="AT1868" s="51"/>
      <c r="AV1868" s="51"/>
    </row>
    <row r="1869" spans="46:48">
      <c r="AT1869" s="51"/>
      <c r="AV1869" s="51"/>
    </row>
    <row r="1870" spans="46:48">
      <c r="AT1870" s="51"/>
      <c r="AV1870" s="51"/>
    </row>
    <row r="1871" spans="46:48">
      <c r="AT1871" s="51"/>
      <c r="AV1871" s="51"/>
    </row>
    <row r="1872" spans="46:48">
      <c r="AT1872" s="51"/>
      <c r="AV1872" s="51"/>
    </row>
    <row r="1873" spans="46:48">
      <c r="AT1873" s="51"/>
      <c r="AV1873" s="51"/>
    </row>
    <row r="1874" spans="46:48">
      <c r="AT1874" s="51"/>
      <c r="AV1874" s="51"/>
    </row>
    <row r="1875" spans="46:48">
      <c r="AT1875" s="51"/>
      <c r="AV1875" s="51"/>
    </row>
    <row r="1876" spans="46:48">
      <c r="AT1876" s="51"/>
      <c r="AV1876" s="51"/>
    </row>
    <row r="1877" spans="46:48">
      <c r="AT1877" s="51"/>
      <c r="AV1877" s="51"/>
    </row>
    <row r="1878" spans="46:48">
      <c r="AT1878" s="51"/>
      <c r="AV1878" s="51"/>
    </row>
    <row r="1879" spans="46:48">
      <c r="AT1879" s="51"/>
      <c r="AV1879" s="51"/>
    </row>
    <row r="1880" spans="46:48">
      <c r="AT1880" s="51"/>
      <c r="AV1880" s="51"/>
    </row>
    <row r="1881" spans="46:48">
      <c r="AT1881" s="51"/>
      <c r="AV1881" s="51"/>
    </row>
    <row r="1882" spans="46:48">
      <c r="AT1882" s="51"/>
      <c r="AV1882" s="51"/>
    </row>
    <row r="1883" spans="46:48">
      <c r="AT1883" s="51"/>
      <c r="AV1883" s="51"/>
    </row>
    <row r="1884" spans="46:48">
      <c r="AT1884" s="51"/>
      <c r="AV1884" s="51"/>
    </row>
    <row r="1885" spans="46:48">
      <c r="AT1885" s="51"/>
      <c r="AV1885" s="51"/>
    </row>
    <row r="1886" spans="46:48">
      <c r="AT1886" s="51"/>
      <c r="AV1886" s="51"/>
    </row>
    <row r="1887" spans="46:48">
      <c r="AT1887" s="51"/>
      <c r="AV1887" s="51"/>
    </row>
    <row r="1888" spans="46:48">
      <c r="AT1888" s="51"/>
      <c r="AV1888" s="51"/>
    </row>
    <row r="1889" spans="46:48">
      <c r="AT1889" s="51"/>
      <c r="AV1889" s="51"/>
    </row>
    <row r="1890" spans="46:48">
      <c r="AT1890" s="51"/>
      <c r="AV1890" s="51"/>
    </row>
    <row r="1891" spans="46:48">
      <c r="AT1891" s="51"/>
      <c r="AV1891" s="51"/>
    </row>
    <row r="1892" spans="46:48">
      <c r="AT1892" s="51"/>
      <c r="AV1892" s="51"/>
    </row>
    <row r="1893" spans="46:48">
      <c r="AT1893" s="51"/>
      <c r="AV1893" s="51"/>
    </row>
    <row r="1894" spans="46:48">
      <c r="AT1894" s="51"/>
      <c r="AV1894" s="51"/>
    </row>
    <row r="1895" spans="46:48">
      <c r="AT1895" s="51"/>
      <c r="AV1895" s="51"/>
    </row>
    <row r="1896" spans="46:48">
      <c r="AT1896" s="51"/>
      <c r="AV1896" s="51"/>
    </row>
    <row r="1897" spans="46:48">
      <c r="AT1897" s="51"/>
      <c r="AV1897" s="51"/>
    </row>
    <row r="1898" spans="46:48">
      <c r="AT1898" s="51"/>
      <c r="AV1898" s="51"/>
    </row>
    <row r="1899" spans="46:48">
      <c r="AT1899" s="51"/>
      <c r="AV1899" s="51"/>
    </row>
    <row r="1900" spans="46:48">
      <c r="AT1900" s="51"/>
      <c r="AV1900" s="51"/>
    </row>
    <row r="1901" spans="46:48">
      <c r="AT1901" s="51"/>
      <c r="AV1901" s="51"/>
    </row>
    <row r="1902" spans="46:48">
      <c r="AT1902" s="51"/>
      <c r="AV1902" s="51"/>
    </row>
    <row r="1903" spans="46:48">
      <c r="AT1903" s="51"/>
      <c r="AV1903" s="51"/>
    </row>
    <row r="1904" spans="46:48">
      <c r="AT1904" s="51"/>
      <c r="AV1904" s="51"/>
    </row>
    <row r="1905" spans="46:48">
      <c r="AT1905" s="51"/>
      <c r="AV1905" s="51"/>
    </row>
    <row r="1906" spans="46:48">
      <c r="AT1906" s="51"/>
      <c r="AV1906" s="51"/>
    </row>
    <row r="1907" spans="46:48">
      <c r="AT1907" s="51"/>
      <c r="AV1907" s="51"/>
    </row>
    <row r="1908" spans="46:48">
      <c r="AT1908" s="51"/>
      <c r="AV1908" s="51"/>
    </row>
    <row r="1909" spans="46:48">
      <c r="AT1909" s="51"/>
      <c r="AV1909" s="51"/>
    </row>
    <row r="1910" spans="46:48">
      <c r="AT1910" s="51"/>
      <c r="AV1910" s="51"/>
    </row>
    <row r="1911" spans="46:48">
      <c r="AT1911" s="51"/>
      <c r="AV1911" s="51"/>
    </row>
    <row r="1912" spans="46:48">
      <c r="AT1912" s="51"/>
      <c r="AV1912" s="51"/>
    </row>
    <row r="1913" spans="46:48">
      <c r="AT1913" s="51"/>
      <c r="AV1913" s="51"/>
    </row>
    <row r="1914" spans="46:48">
      <c r="AT1914" s="51"/>
      <c r="AV1914" s="51"/>
    </row>
    <row r="1915" spans="46:48">
      <c r="AT1915" s="51"/>
      <c r="AV1915" s="51"/>
    </row>
    <row r="1916" spans="46:48">
      <c r="AT1916" s="51"/>
      <c r="AV1916" s="51"/>
    </row>
    <row r="1917" spans="46:48">
      <c r="AT1917" s="51"/>
      <c r="AV1917" s="51"/>
    </row>
    <row r="1918" spans="46:48">
      <c r="AT1918" s="51"/>
      <c r="AV1918" s="51"/>
    </row>
    <row r="1919" spans="46:48">
      <c r="AT1919" s="51"/>
      <c r="AV1919" s="51"/>
    </row>
    <row r="1920" spans="46:48">
      <c r="AT1920" s="51"/>
      <c r="AV1920" s="51"/>
    </row>
    <row r="1921" spans="46:48">
      <c r="AT1921" s="51"/>
      <c r="AV1921" s="51"/>
    </row>
    <row r="1922" spans="46:48">
      <c r="AT1922" s="51"/>
      <c r="AV1922" s="51"/>
    </row>
    <row r="1923" spans="46:48">
      <c r="AT1923" s="51"/>
      <c r="AV1923" s="51"/>
    </row>
    <row r="1924" spans="46:48">
      <c r="AT1924" s="51"/>
      <c r="AV1924" s="51"/>
    </row>
    <row r="1925" spans="46:48">
      <c r="AT1925" s="51"/>
      <c r="AV1925" s="51"/>
    </row>
    <row r="1926" spans="46:48">
      <c r="AT1926" s="51"/>
      <c r="AV1926" s="51"/>
    </row>
    <row r="1927" spans="46:48">
      <c r="AT1927" s="51"/>
      <c r="AV1927" s="51"/>
    </row>
    <row r="1928" spans="46:48">
      <c r="AT1928" s="51"/>
      <c r="AV1928" s="51"/>
    </row>
    <row r="1929" spans="46:48">
      <c r="AT1929" s="51"/>
      <c r="AV1929" s="51"/>
    </row>
    <row r="1930" spans="46:48">
      <c r="AT1930" s="51"/>
      <c r="AV1930" s="51"/>
    </row>
    <row r="1931" spans="46:48">
      <c r="AT1931" s="51"/>
      <c r="AV1931" s="51"/>
    </row>
    <row r="1932" spans="46:48">
      <c r="AT1932" s="51"/>
      <c r="AV1932" s="51"/>
    </row>
    <row r="1933" spans="46:48">
      <c r="AT1933" s="51"/>
      <c r="AV1933" s="51"/>
    </row>
    <row r="1934" spans="46:48">
      <c r="AT1934" s="51"/>
      <c r="AV1934" s="51"/>
    </row>
    <row r="1935" spans="46:48">
      <c r="AT1935" s="51"/>
      <c r="AV1935" s="51"/>
    </row>
    <row r="1936" spans="46:48">
      <c r="AT1936" s="51"/>
      <c r="AV1936" s="51"/>
    </row>
    <row r="1937" spans="46:48">
      <c r="AT1937" s="51"/>
      <c r="AV1937" s="51"/>
    </row>
    <row r="1938" spans="46:48">
      <c r="AT1938" s="51"/>
      <c r="AV1938" s="51"/>
    </row>
    <row r="1939" spans="46:48">
      <c r="AT1939" s="51"/>
      <c r="AV1939" s="51"/>
    </row>
    <row r="1940" spans="46:48">
      <c r="AT1940" s="51"/>
      <c r="AV1940" s="51"/>
    </row>
    <row r="1941" spans="46:48">
      <c r="AT1941" s="51"/>
      <c r="AV1941" s="51"/>
    </row>
    <row r="1942" spans="46:48">
      <c r="AT1942" s="51"/>
      <c r="AV1942" s="51"/>
    </row>
    <row r="1943" spans="46:48">
      <c r="AT1943" s="51"/>
      <c r="AV1943" s="51"/>
    </row>
    <row r="1944" spans="46:48">
      <c r="AT1944" s="51"/>
      <c r="AV1944" s="51"/>
    </row>
    <row r="1945" spans="46:48">
      <c r="AT1945" s="51"/>
      <c r="AV1945" s="51"/>
    </row>
    <row r="1946" spans="46:48">
      <c r="AT1946" s="51"/>
      <c r="AV1946" s="51"/>
    </row>
    <row r="1947" spans="46:48">
      <c r="AT1947" s="51"/>
      <c r="AV1947" s="51"/>
    </row>
    <row r="1948" spans="46:48">
      <c r="AT1948" s="51"/>
      <c r="AV1948" s="51"/>
    </row>
    <row r="1949" spans="46:48">
      <c r="AT1949" s="51"/>
      <c r="AV1949" s="51"/>
    </row>
    <row r="1950" spans="46:48">
      <c r="AT1950" s="51"/>
      <c r="AV1950" s="51"/>
    </row>
    <row r="1951" spans="46:48">
      <c r="AT1951" s="51"/>
      <c r="AV1951" s="51"/>
    </row>
    <row r="1952" spans="46:48">
      <c r="AT1952" s="51"/>
      <c r="AV1952" s="51"/>
    </row>
    <row r="1953" spans="46:48">
      <c r="AT1953" s="51"/>
      <c r="AV1953" s="51"/>
    </row>
    <row r="1954" spans="46:48">
      <c r="AT1954" s="51"/>
      <c r="AV1954" s="51"/>
    </row>
    <row r="1955" spans="46:48">
      <c r="AT1955" s="51"/>
      <c r="AV1955" s="51"/>
    </row>
    <row r="1956" spans="46:48">
      <c r="AT1956" s="51"/>
      <c r="AV1956" s="51"/>
    </row>
    <row r="1957" spans="46:48">
      <c r="AT1957" s="51"/>
      <c r="AV1957" s="51"/>
    </row>
    <row r="1958" spans="46:48">
      <c r="AT1958" s="51"/>
      <c r="AV1958" s="51"/>
    </row>
    <row r="1959" spans="46:48">
      <c r="AT1959" s="51"/>
      <c r="AV1959" s="51"/>
    </row>
    <row r="1960" spans="46:48">
      <c r="AT1960" s="51"/>
      <c r="AV1960" s="51"/>
    </row>
    <row r="1961" spans="46:48">
      <c r="AT1961" s="51"/>
      <c r="AV1961" s="51"/>
    </row>
    <row r="1962" spans="46:48">
      <c r="AT1962" s="51"/>
      <c r="AV1962" s="51"/>
    </row>
    <row r="1963" spans="46:48">
      <c r="AT1963" s="51"/>
      <c r="AV1963" s="51"/>
    </row>
    <row r="1964" spans="46:48">
      <c r="AT1964" s="51"/>
      <c r="AV1964" s="51"/>
    </row>
    <row r="1965" spans="46:48">
      <c r="AT1965" s="51"/>
      <c r="AV1965" s="51"/>
    </row>
    <row r="1966" spans="46:48">
      <c r="AT1966" s="51"/>
      <c r="AV1966" s="51"/>
    </row>
    <row r="1967" spans="46:48">
      <c r="AT1967" s="51"/>
      <c r="AV1967" s="51"/>
    </row>
    <row r="1968" spans="46:48">
      <c r="AT1968" s="51"/>
      <c r="AV1968" s="51"/>
    </row>
    <row r="1969" spans="46:48">
      <c r="AT1969" s="51"/>
      <c r="AV1969" s="51"/>
    </row>
    <row r="1970" spans="46:48">
      <c r="AT1970" s="51"/>
      <c r="AV1970" s="51"/>
    </row>
    <row r="1971" spans="46:48">
      <c r="AT1971" s="51"/>
      <c r="AV1971" s="51"/>
    </row>
    <row r="1972" spans="46:48">
      <c r="AT1972" s="51"/>
      <c r="AV1972" s="51"/>
    </row>
    <row r="1973" spans="46:48">
      <c r="AT1973" s="51"/>
      <c r="AV1973" s="51"/>
    </row>
    <row r="1974" spans="46:48">
      <c r="AT1974" s="51"/>
      <c r="AV1974" s="51"/>
    </row>
    <row r="1975" spans="46:48">
      <c r="AT1975" s="51"/>
      <c r="AV1975" s="51"/>
    </row>
    <row r="1976" spans="46:48">
      <c r="AT1976" s="51"/>
      <c r="AV1976" s="51"/>
    </row>
    <row r="1977" spans="46:48">
      <c r="AT1977" s="51"/>
      <c r="AV1977" s="51"/>
    </row>
    <row r="1978" spans="46:48">
      <c r="AT1978" s="51"/>
      <c r="AV1978" s="51"/>
    </row>
    <row r="1979" spans="46:48">
      <c r="AT1979" s="51"/>
      <c r="AV1979" s="51"/>
    </row>
    <row r="1980" spans="46:48">
      <c r="AT1980" s="51"/>
      <c r="AV1980" s="51"/>
    </row>
    <row r="1981" spans="46:48">
      <c r="AT1981" s="51"/>
      <c r="AV1981" s="51"/>
    </row>
    <row r="1982" spans="46:48">
      <c r="AT1982" s="51"/>
      <c r="AV1982" s="51"/>
    </row>
    <row r="1983" spans="46:48">
      <c r="AT1983" s="51"/>
      <c r="AV1983" s="51"/>
    </row>
    <row r="1984" spans="46:48">
      <c r="AT1984" s="51"/>
      <c r="AV1984" s="51"/>
    </row>
    <row r="1985" spans="46:48">
      <c r="AT1985" s="51"/>
      <c r="AV1985" s="51"/>
    </row>
    <row r="1986" spans="46:48">
      <c r="AT1986" s="51"/>
      <c r="AV1986" s="51"/>
    </row>
    <row r="1987" spans="46:48">
      <c r="AT1987" s="51"/>
      <c r="AV1987" s="51"/>
    </row>
    <row r="1988" spans="46:48">
      <c r="AT1988" s="51"/>
      <c r="AV1988" s="51"/>
    </row>
    <row r="1989" spans="46:48">
      <c r="AT1989" s="51"/>
      <c r="AV1989" s="51"/>
    </row>
    <row r="1990" spans="46:48">
      <c r="AT1990" s="51"/>
      <c r="AV1990" s="51"/>
    </row>
    <row r="1991" spans="46:48">
      <c r="AT1991" s="51"/>
      <c r="AV1991" s="51"/>
    </row>
    <row r="1992" spans="46:48">
      <c r="AT1992" s="51"/>
      <c r="AV1992" s="51"/>
    </row>
    <row r="1993" spans="46:48">
      <c r="AT1993" s="51"/>
      <c r="AV1993" s="51"/>
    </row>
    <row r="1994" spans="46:48">
      <c r="AT1994" s="51"/>
      <c r="AV1994" s="51"/>
    </row>
    <row r="1995" spans="46:48">
      <c r="AT1995" s="51"/>
      <c r="AV1995" s="51"/>
    </row>
    <row r="1996" spans="46:48">
      <c r="AT1996" s="51"/>
      <c r="AV1996" s="51"/>
    </row>
    <row r="1997" spans="46:48">
      <c r="AT1997" s="51"/>
      <c r="AV1997" s="51"/>
    </row>
    <row r="1998" spans="46:48">
      <c r="AT1998" s="51"/>
      <c r="AV1998" s="51"/>
    </row>
    <row r="1999" spans="46:48">
      <c r="AT1999" s="51"/>
      <c r="AV1999" s="51"/>
    </row>
    <row r="2000" spans="46:48">
      <c r="AT2000" s="51"/>
      <c r="AV2000" s="51"/>
    </row>
    <row r="2001" spans="46:48">
      <c r="AT2001" s="51"/>
      <c r="AV2001" s="51"/>
    </row>
    <row r="2002" spans="46:48">
      <c r="AT2002" s="51"/>
      <c r="AV2002" s="51"/>
    </row>
    <row r="2003" spans="46:48">
      <c r="AT2003" s="51"/>
      <c r="AV2003" s="51"/>
    </row>
    <row r="2004" spans="46:48">
      <c r="AT2004" s="51"/>
      <c r="AV2004" s="51"/>
    </row>
    <row r="2005" spans="46:48">
      <c r="AT2005" s="51"/>
      <c r="AV2005" s="51"/>
    </row>
    <row r="2006" spans="46:48">
      <c r="AT2006" s="51"/>
      <c r="AV2006" s="51"/>
    </row>
    <row r="2007" spans="46:48">
      <c r="AT2007" s="51"/>
      <c r="AV2007" s="51"/>
    </row>
    <row r="2008" spans="46:48">
      <c r="AT2008" s="51"/>
      <c r="AV2008" s="51"/>
    </row>
    <row r="2009" spans="46:48">
      <c r="AT2009" s="51"/>
      <c r="AV2009" s="51"/>
    </row>
    <row r="2010" spans="46:48">
      <c r="AT2010" s="51"/>
      <c r="AV2010" s="51"/>
    </row>
    <row r="2011" spans="46:48">
      <c r="AT2011" s="51"/>
      <c r="AV2011" s="51"/>
    </row>
    <row r="2012" spans="46:48">
      <c r="AT2012" s="51"/>
      <c r="AV2012" s="51"/>
    </row>
    <row r="2013" spans="46:48">
      <c r="AT2013" s="51"/>
      <c r="AV2013" s="51"/>
    </row>
    <row r="2014" spans="46:48">
      <c r="AT2014" s="51"/>
      <c r="AV2014" s="51"/>
    </row>
    <row r="2015" spans="46:48">
      <c r="AT2015" s="51"/>
      <c r="AV2015" s="51"/>
    </row>
    <row r="2016" spans="46:48">
      <c r="AT2016" s="51"/>
      <c r="AV2016" s="51"/>
    </row>
    <row r="2017" spans="46:48">
      <c r="AT2017" s="51"/>
      <c r="AV2017" s="51"/>
    </row>
    <row r="2018" spans="46:48">
      <c r="AT2018" s="51"/>
      <c r="AV2018" s="51"/>
    </row>
    <row r="2019" spans="46:48">
      <c r="AT2019" s="51"/>
      <c r="AV2019" s="51"/>
    </row>
    <row r="2020" spans="46:48">
      <c r="AT2020" s="51"/>
      <c r="AV2020" s="51"/>
    </row>
    <row r="2021" spans="46:48">
      <c r="AT2021" s="51"/>
      <c r="AV2021" s="51"/>
    </row>
    <row r="2022" spans="46:48">
      <c r="AT2022" s="51"/>
      <c r="AV2022" s="51"/>
    </row>
    <row r="2023" spans="46:48">
      <c r="AT2023" s="51"/>
      <c r="AV2023" s="51"/>
    </row>
    <row r="2024" spans="46:48">
      <c r="AT2024" s="51"/>
      <c r="AV2024" s="51"/>
    </row>
    <row r="2025" spans="46:48">
      <c r="AT2025" s="51"/>
      <c r="AV2025" s="51"/>
    </row>
    <row r="2026" spans="46:48">
      <c r="AT2026" s="51"/>
      <c r="AV2026" s="51"/>
    </row>
    <row r="2027" spans="46:48">
      <c r="AT2027" s="51"/>
      <c r="AV2027" s="51"/>
    </row>
    <row r="2028" spans="46:48">
      <c r="AT2028" s="51"/>
      <c r="AV2028" s="51"/>
    </row>
    <row r="2029" spans="46:48">
      <c r="AT2029" s="51"/>
      <c r="AV2029" s="51"/>
    </row>
    <row r="2030" spans="46:48">
      <c r="AT2030" s="51"/>
      <c r="AV2030" s="51"/>
    </row>
    <row r="2031" spans="46:48">
      <c r="AT2031" s="51"/>
      <c r="AV2031" s="51"/>
    </row>
    <row r="2032" spans="46:48">
      <c r="AT2032" s="51"/>
      <c r="AV2032" s="51"/>
    </row>
    <row r="2033" spans="46:48">
      <c r="AT2033" s="51"/>
      <c r="AV2033" s="51"/>
    </row>
    <row r="2034" spans="46:48">
      <c r="AT2034" s="51"/>
      <c r="AV2034" s="51"/>
    </row>
    <row r="2035" spans="46:48">
      <c r="AT2035" s="51"/>
      <c r="AV2035" s="51"/>
    </row>
    <row r="2036" spans="46:48">
      <c r="AT2036" s="51"/>
      <c r="AV2036" s="51"/>
    </row>
    <row r="2037" spans="46:48">
      <c r="AT2037" s="51"/>
      <c r="AV2037" s="51"/>
    </row>
    <row r="2038" spans="46:48">
      <c r="AT2038" s="51"/>
      <c r="AV2038" s="51"/>
    </row>
    <row r="2039" spans="46:48">
      <c r="AT2039" s="51"/>
      <c r="AV2039" s="51"/>
    </row>
    <row r="2040" spans="46:48">
      <c r="AT2040" s="51"/>
      <c r="AV2040" s="51"/>
    </row>
    <row r="2041" spans="46:48">
      <c r="AT2041" s="51"/>
      <c r="AV2041" s="51"/>
    </row>
    <row r="2042" spans="46:48">
      <c r="AT2042" s="51"/>
      <c r="AV2042" s="51"/>
    </row>
    <row r="2043" spans="46:48">
      <c r="AT2043" s="51"/>
      <c r="AV2043" s="51"/>
    </row>
    <row r="2044" spans="46:48">
      <c r="AT2044" s="51"/>
      <c r="AV2044" s="51"/>
    </row>
    <row r="2045" spans="46:48">
      <c r="AT2045" s="51"/>
      <c r="AV2045" s="51"/>
    </row>
    <row r="2046" spans="46:48">
      <c r="AT2046" s="51"/>
      <c r="AV2046" s="51"/>
    </row>
    <row r="2047" spans="46:48">
      <c r="AT2047" s="51"/>
      <c r="AV2047" s="51"/>
    </row>
    <row r="2048" spans="46:48">
      <c r="AT2048" s="51"/>
      <c r="AV2048" s="51"/>
    </row>
    <row r="2049" spans="46:48">
      <c r="AT2049" s="51"/>
      <c r="AV2049" s="51"/>
    </row>
    <row r="2050" spans="46:48">
      <c r="AT2050" s="51"/>
      <c r="AV2050" s="51"/>
    </row>
    <row r="2051" spans="46:48">
      <c r="AT2051" s="51"/>
      <c r="AV2051" s="51"/>
    </row>
    <row r="2052" spans="46:48">
      <c r="AT2052" s="51"/>
      <c r="AV2052" s="51"/>
    </row>
    <row r="2053" spans="46:48">
      <c r="AT2053" s="51"/>
      <c r="AV2053" s="51"/>
    </row>
    <row r="2054" spans="46:48">
      <c r="AT2054" s="51"/>
      <c r="AV2054" s="51"/>
    </row>
    <row r="2055" spans="46:48">
      <c r="AT2055" s="51"/>
      <c r="AV2055" s="51"/>
    </row>
    <row r="2056" spans="46:48">
      <c r="AT2056" s="51"/>
      <c r="AV2056" s="51"/>
    </row>
    <row r="2057" spans="46:48">
      <c r="AT2057" s="51"/>
      <c r="AV2057" s="51"/>
    </row>
    <row r="2058" spans="46:48">
      <c r="AT2058" s="51"/>
      <c r="AV2058" s="51"/>
    </row>
    <row r="2059" spans="46:48">
      <c r="AT2059" s="51"/>
      <c r="AV2059" s="51"/>
    </row>
    <row r="2060" spans="46:48">
      <c r="AT2060" s="51"/>
      <c r="AV2060" s="51"/>
    </row>
    <row r="2061" spans="46:48">
      <c r="AT2061" s="51"/>
      <c r="AV2061" s="51"/>
    </row>
    <row r="2062" spans="46:48">
      <c r="AT2062" s="51"/>
      <c r="AV2062" s="51"/>
    </row>
    <row r="2063" spans="46:48">
      <c r="AT2063" s="51"/>
      <c r="AV2063" s="51"/>
    </row>
    <row r="2064" spans="46:48">
      <c r="AT2064" s="51"/>
      <c r="AV2064" s="51"/>
    </row>
    <row r="2065" spans="46:48">
      <c r="AT2065" s="51"/>
      <c r="AV2065" s="51"/>
    </row>
    <row r="2066" spans="46:48">
      <c r="AT2066" s="51"/>
      <c r="AV2066" s="51"/>
    </row>
    <row r="2067" spans="46:48">
      <c r="AT2067" s="51"/>
      <c r="AV2067" s="51"/>
    </row>
    <row r="2068" spans="46:48">
      <c r="AT2068" s="51"/>
      <c r="AV2068" s="51"/>
    </row>
    <row r="2069" spans="46:48">
      <c r="AT2069" s="51"/>
      <c r="AV2069" s="51"/>
    </row>
    <row r="2070" spans="46:48">
      <c r="AT2070" s="51"/>
      <c r="AV2070" s="51"/>
    </row>
    <row r="2071" spans="46:48">
      <c r="AT2071" s="51"/>
      <c r="AV2071" s="51"/>
    </row>
    <row r="2072" spans="46:48">
      <c r="AT2072" s="51"/>
      <c r="AV2072" s="51"/>
    </row>
    <row r="2073" spans="46:48">
      <c r="AT2073" s="51"/>
      <c r="AV2073" s="51"/>
    </row>
    <row r="2074" spans="46:48">
      <c r="AT2074" s="51"/>
      <c r="AV2074" s="51"/>
    </row>
    <row r="2075" spans="46:48">
      <c r="AT2075" s="51"/>
      <c r="AV2075" s="51"/>
    </row>
    <row r="2076" spans="46:48">
      <c r="AT2076" s="51"/>
      <c r="AV2076" s="51"/>
    </row>
    <row r="2077" spans="46:48">
      <c r="AT2077" s="51"/>
      <c r="AV2077" s="51"/>
    </row>
    <row r="2078" spans="46:48">
      <c r="AT2078" s="51"/>
      <c r="AV2078" s="51"/>
    </row>
    <row r="2079" spans="46:48">
      <c r="AT2079" s="51"/>
      <c r="AV2079" s="51"/>
    </row>
    <row r="2080" spans="46:48">
      <c r="AT2080" s="51"/>
      <c r="AV2080" s="51"/>
    </row>
    <row r="2081" spans="46:48">
      <c r="AT2081" s="51"/>
      <c r="AV2081" s="51"/>
    </row>
    <row r="2082" spans="46:48">
      <c r="AT2082" s="51"/>
      <c r="AV2082" s="51"/>
    </row>
    <row r="2083" spans="46:48">
      <c r="AT2083" s="51"/>
      <c r="AV2083" s="51"/>
    </row>
    <row r="2084" spans="46:48">
      <c r="AT2084" s="51"/>
      <c r="AV2084" s="51"/>
    </row>
    <row r="2085" spans="46:48">
      <c r="AT2085" s="51"/>
      <c r="AV2085" s="51"/>
    </row>
    <row r="2086" spans="46:48">
      <c r="AT2086" s="51"/>
      <c r="AV2086" s="51"/>
    </row>
    <row r="2087" spans="46:48">
      <c r="AT2087" s="51"/>
      <c r="AV2087" s="51"/>
    </row>
    <row r="2088" spans="46:48">
      <c r="AT2088" s="51"/>
      <c r="AV2088" s="51"/>
    </row>
    <row r="2089" spans="46:48">
      <c r="AT2089" s="51"/>
      <c r="AV2089" s="51"/>
    </row>
    <row r="2090" spans="46:48">
      <c r="AT2090" s="51"/>
      <c r="AV2090" s="51"/>
    </row>
    <row r="2091" spans="46:48">
      <c r="AT2091" s="51"/>
      <c r="AV2091" s="51"/>
    </row>
    <row r="2092" spans="46:48">
      <c r="AT2092" s="51"/>
      <c r="AV2092" s="51"/>
    </row>
    <row r="2093" spans="46:48">
      <c r="AT2093" s="51"/>
      <c r="AV2093" s="51"/>
    </row>
    <row r="2094" spans="46:48">
      <c r="AT2094" s="51"/>
      <c r="AV2094" s="51"/>
    </row>
    <row r="2095" spans="46:48">
      <c r="AT2095" s="51"/>
      <c r="AV2095" s="51"/>
    </row>
    <row r="2096" spans="46:48">
      <c r="AT2096" s="51"/>
      <c r="AV2096" s="51"/>
    </row>
    <row r="2097" spans="46:48">
      <c r="AT2097" s="51"/>
      <c r="AV2097" s="51"/>
    </row>
    <row r="2098" spans="46:48">
      <c r="AT2098" s="51"/>
      <c r="AV2098" s="51"/>
    </row>
    <row r="2099" spans="46:48">
      <c r="AT2099" s="51"/>
      <c r="AV2099" s="51"/>
    </row>
    <row r="2100" spans="46:48">
      <c r="AT2100" s="51"/>
      <c r="AV2100" s="51"/>
    </row>
    <row r="2101" spans="46:48">
      <c r="AT2101" s="51"/>
      <c r="AV2101" s="51"/>
    </row>
    <row r="2102" spans="46:48">
      <c r="AT2102" s="51"/>
      <c r="AV2102" s="51"/>
    </row>
    <row r="2103" spans="46:48">
      <c r="AT2103" s="51"/>
      <c r="AV2103" s="51"/>
    </row>
    <row r="2104" spans="46:48">
      <c r="AT2104" s="51"/>
      <c r="AV2104" s="51"/>
    </row>
    <row r="2105" spans="46:48">
      <c r="AT2105" s="51"/>
      <c r="AV2105" s="51"/>
    </row>
    <row r="2106" spans="46:48">
      <c r="AT2106" s="51"/>
      <c r="AV2106" s="51"/>
    </row>
    <row r="2107" spans="46:48">
      <c r="AT2107" s="51"/>
      <c r="AV2107" s="51"/>
    </row>
    <row r="2108" spans="46:48">
      <c r="AT2108" s="51"/>
      <c r="AV2108" s="51"/>
    </row>
    <row r="2109" spans="46:48">
      <c r="AT2109" s="51"/>
      <c r="AV2109" s="51"/>
    </row>
    <row r="2110" spans="46:48">
      <c r="AT2110" s="51"/>
      <c r="AV2110" s="51"/>
    </row>
    <row r="2111" spans="46:48">
      <c r="AT2111" s="51"/>
      <c r="AV2111" s="51"/>
    </row>
    <row r="2112" spans="46:48">
      <c r="AT2112" s="51"/>
      <c r="AV2112" s="51"/>
    </row>
    <row r="2113" spans="46:48">
      <c r="AT2113" s="51"/>
      <c r="AV2113" s="51"/>
    </row>
    <row r="2114" spans="46:48">
      <c r="AT2114" s="51"/>
      <c r="AV2114" s="51"/>
    </row>
    <row r="2115" spans="46:48">
      <c r="AT2115" s="51"/>
      <c r="AV2115" s="51"/>
    </row>
    <row r="2116" spans="46:48">
      <c r="AT2116" s="51"/>
      <c r="AV2116" s="51"/>
    </row>
    <row r="2117" spans="46:48">
      <c r="AT2117" s="51"/>
      <c r="AV2117" s="51"/>
    </row>
    <row r="2118" spans="46:48">
      <c r="AT2118" s="51"/>
      <c r="AV2118" s="51"/>
    </row>
    <row r="2119" spans="46:48">
      <c r="AT2119" s="51"/>
      <c r="AV2119" s="51"/>
    </row>
    <row r="2120" spans="46:48">
      <c r="AT2120" s="51"/>
      <c r="AV2120" s="51"/>
    </row>
    <row r="2121" spans="46:48">
      <c r="AT2121" s="51"/>
      <c r="AV2121" s="51"/>
    </row>
    <row r="2122" spans="46:48">
      <c r="AT2122" s="51"/>
      <c r="AV2122" s="51"/>
    </row>
    <row r="2123" spans="46:48">
      <c r="AT2123" s="51"/>
      <c r="AV2123" s="51"/>
    </row>
    <row r="2124" spans="46:48">
      <c r="AT2124" s="51"/>
      <c r="AV2124" s="51"/>
    </row>
    <row r="2125" spans="46:48">
      <c r="AT2125" s="51"/>
      <c r="AV2125" s="51"/>
    </row>
    <row r="2126" spans="46:48">
      <c r="AT2126" s="51"/>
      <c r="AV2126" s="51"/>
    </row>
    <row r="2127" spans="46:48">
      <c r="AT2127" s="51"/>
      <c r="AV2127" s="51"/>
    </row>
    <row r="2128" spans="46:48">
      <c r="AT2128" s="51"/>
      <c r="AV2128" s="51"/>
    </row>
    <row r="2129" spans="46:48">
      <c r="AT2129" s="51"/>
      <c r="AV2129" s="51"/>
    </row>
    <row r="2130" spans="46:48">
      <c r="AT2130" s="51"/>
      <c r="AV2130" s="51"/>
    </row>
    <row r="2131" spans="46:48">
      <c r="AT2131" s="51"/>
      <c r="AV2131" s="51"/>
    </row>
    <row r="2132" spans="46:48">
      <c r="AT2132" s="51"/>
      <c r="AV2132" s="51"/>
    </row>
    <row r="2133" spans="46:48">
      <c r="AT2133" s="51"/>
      <c r="AV2133" s="51"/>
    </row>
    <row r="2134" spans="46:48">
      <c r="AT2134" s="51"/>
      <c r="AV2134" s="51"/>
    </row>
    <row r="2135" spans="46:48">
      <c r="AT2135" s="51"/>
      <c r="AV2135" s="51"/>
    </row>
    <row r="2136" spans="46:48">
      <c r="AT2136" s="51"/>
      <c r="AV2136" s="51"/>
    </row>
    <row r="2137" spans="46:48">
      <c r="AT2137" s="51"/>
      <c r="AV2137" s="51"/>
    </row>
    <row r="2138" spans="46:48">
      <c r="AT2138" s="51"/>
      <c r="AV2138" s="51"/>
    </row>
    <row r="2139" spans="46:48">
      <c r="AT2139" s="51"/>
      <c r="AV2139" s="51"/>
    </row>
    <row r="2140" spans="46:48">
      <c r="AT2140" s="51"/>
      <c r="AV2140" s="51"/>
    </row>
    <row r="2141" spans="46:48">
      <c r="AT2141" s="51"/>
      <c r="AV2141" s="51"/>
    </row>
    <row r="2142" spans="46:48">
      <c r="AT2142" s="51"/>
      <c r="AV2142" s="51"/>
    </row>
    <row r="2143" spans="46:48">
      <c r="AT2143" s="51"/>
      <c r="AV2143" s="51"/>
    </row>
    <row r="2144" spans="46:48">
      <c r="AT2144" s="51"/>
      <c r="AV2144" s="51"/>
    </row>
    <row r="2145" spans="46:48">
      <c r="AT2145" s="51"/>
      <c r="AV2145" s="51"/>
    </row>
    <row r="2146" spans="46:48">
      <c r="AT2146" s="51"/>
      <c r="AV2146" s="51"/>
    </row>
    <row r="2147" spans="46:48">
      <c r="AT2147" s="51"/>
      <c r="AV2147" s="51"/>
    </row>
    <row r="2148" spans="46:48">
      <c r="AT2148" s="51"/>
      <c r="AV2148" s="51"/>
    </row>
    <row r="2149" spans="46:48">
      <c r="AT2149" s="51"/>
      <c r="AV2149" s="51"/>
    </row>
    <row r="2150" spans="46:48">
      <c r="AT2150" s="51"/>
      <c r="AV2150" s="51"/>
    </row>
    <row r="2151" spans="46:48">
      <c r="AT2151" s="51"/>
      <c r="AV2151" s="51"/>
    </row>
    <row r="2152" spans="46:48">
      <c r="AT2152" s="51"/>
      <c r="AV2152" s="51"/>
    </row>
    <row r="2153" spans="46:48">
      <c r="AT2153" s="51"/>
      <c r="AV2153" s="51"/>
    </row>
    <row r="2154" spans="46:48">
      <c r="AT2154" s="51"/>
      <c r="AV2154" s="51"/>
    </row>
    <row r="2155" spans="46:48">
      <c r="AT2155" s="51"/>
      <c r="AV2155" s="51"/>
    </row>
    <row r="2156" spans="46:48">
      <c r="AT2156" s="51"/>
      <c r="AV2156" s="51"/>
    </row>
    <row r="2157" spans="46:48">
      <c r="AT2157" s="51"/>
      <c r="AV2157" s="51"/>
    </row>
    <row r="2158" spans="46:48">
      <c r="AT2158" s="51"/>
      <c r="AV2158" s="51"/>
    </row>
    <row r="2159" spans="46:48">
      <c r="AT2159" s="51"/>
      <c r="AV2159" s="51"/>
    </row>
    <row r="2160" spans="46:48">
      <c r="AT2160" s="51"/>
      <c r="AV2160" s="51"/>
    </row>
    <row r="2161" spans="46:48">
      <c r="AT2161" s="51"/>
      <c r="AV2161" s="51"/>
    </row>
    <row r="2162" spans="46:48">
      <c r="AT2162" s="51"/>
      <c r="AV2162" s="51"/>
    </row>
    <row r="2163" spans="46:48">
      <c r="AT2163" s="51"/>
      <c r="AV2163" s="51"/>
    </row>
    <row r="2164" spans="46:48">
      <c r="AT2164" s="51"/>
      <c r="AV2164" s="51"/>
    </row>
    <row r="2165" spans="46:48">
      <c r="AT2165" s="51"/>
      <c r="AV2165" s="51"/>
    </row>
    <row r="2166" spans="46:48">
      <c r="AT2166" s="51"/>
      <c r="AV2166" s="51"/>
    </row>
    <row r="2167" spans="46:48">
      <c r="AT2167" s="51"/>
      <c r="AV2167" s="51"/>
    </row>
    <row r="2168" spans="46:48">
      <c r="AT2168" s="51"/>
      <c r="AV2168" s="51"/>
    </row>
    <row r="2169" spans="46:48">
      <c r="AT2169" s="51"/>
      <c r="AV2169" s="51"/>
    </row>
    <row r="2170" spans="46:48">
      <c r="AT2170" s="51"/>
      <c r="AV2170" s="51"/>
    </row>
    <row r="2171" spans="46:48">
      <c r="AT2171" s="51"/>
      <c r="AV2171" s="51"/>
    </row>
    <row r="2172" spans="46:48">
      <c r="AT2172" s="51"/>
      <c r="AV2172" s="51"/>
    </row>
    <row r="2173" spans="46:48">
      <c r="AT2173" s="51"/>
      <c r="AV2173" s="51"/>
    </row>
    <row r="2174" spans="46:48">
      <c r="AT2174" s="51"/>
      <c r="AV2174" s="51"/>
    </row>
    <row r="2175" spans="46:48">
      <c r="AT2175" s="51"/>
      <c r="AV2175" s="51"/>
    </row>
    <row r="2176" spans="46:48">
      <c r="AT2176" s="51"/>
      <c r="AV2176" s="51"/>
    </row>
    <row r="2177" spans="46:48">
      <c r="AT2177" s="51"/>
      <c r="AV2177" s="51"/>
    </row>
    <row r="2178" spans="46:48">
      <c r="AT2178" s="51"/>
      <c r="AV2178" s="51"/>
    </row>
    <row r="2179" spans="46:48">
      <c r="AT2179" s="51"/>
      <c r="AV2179" s="51"/>
    </row>
    <row r="2180" spans="46:48">
      <c r="AT2180" s="51"/>
      <c r="AV2180" s="51"/>
    </row>
    <row r="2181" spans="46:48">
      <c r="AT2181" s="51"/>
      <c r="AV2181" s="51"/>
    </row>
    <row r="2182" spans="46:48">
      <c r="AT2182" s="51"/>
      <c r="AV2182" s="51"/>
    </row>
    <row r="2183" spans="46:48">
      <c r="AT2183" s="51"/>
      <c r="AV2183" s="51"/>
    </row>
    <row r="2184" spans="46:48">
      <c r="AT2184" s="51"/>
      <c r="AV2184" s="51"/>
    </row>
    <row r="2185" spans="46:48">
      <c r="AT2185" s="51"/>
      <c r="AV2185" s="51"/>
    </row>
    <row r="2186" spans="46:48">
      <c r="AT2186" s="51"/>
      <c r="AV2186" s="51"/>
    </row>
    <row r="2187" spans="46:48">
      <c r="AT2187" s="51"/>
      <c r="AV2187" s="51"/>
    </row>
    <row r="2188" spans="46:48">
      <c r="AT2188" s="51"/>
      <c r="AV2188" s="51"/>
    </row>
    <row r="2189" spans="46:48">
      <c r="AT2189" s="51"/>
      <c r="AV2189" s="51"/>
    </row>
    <row r="2190" spans="46:48">
      <c r="AT2190" s="51"/>
      <c r="AV2190" s="51"/>
    </row>
    <row r="2191" spans="46:48">
      <c r="AT2191" s="51"/>
      <c r="AV2191" s="51"/>
    </row>
    <row r="2192" spans="46:48">
      <c r="AT2192" s="51"/>
      <c r="AV2192" s="51"/>
    </row>
    <row r="2193" spans="46:48">
      <c r="AT2193" s="51"/>
      <c r="AV2193" s="51"/>
    </row>
    <row r="2194" spans="46:48">
      <c r="AT2194" s="51"/>
      <c r="AV2194" s="51"/>
    </row>
    <row r="2195" spans="46:48">
      <c r="AT2195" s="51"/>
      <c r="AV2195" s="51"/>
    </row>
    <row r="2196" spans="46:48">
      <c r="AT2196" s="51"/>
      <c r="AV2196" s="51"/>
    </row>
    <row r="2197" spans="46:48">
      <c r="AT2197" s="51"/>
      <c r="AV2197" s="51"/>
    </row>
    <row r="2198" spans="46:48">
      <c r="AT2198" s="51"/>
      <c r="AV2198" s="51"/>
    </row>
    <row r="2199" spans="46:48">
      <c r="AT2199" s="51"/>
      <c r="AV2199" s="51"/>
    </row>
    <row r="2200" spans="46:48">
      <c r="AT2200" s="51"/>
      <c r="AV2200" s="51"/>
    </row>
    <row r="2201" spans="46:48">
      <c r="AT2201" s="51"/>
      <c r="AV2201" s="51"/>
    </row>
    <row r="2202" spans="46:48">
      <c r="AT2202" s="51"/>
      <c r="AV2202" s="51"/>
    </row>
    <row r="2203" spans="46:48">
      <c r="AT2203" s="51"/>
      <c r="AV2203" s="51"/>
    </row>
    <row r="2204" spans="46:48">
      <c r="AT2204" s="51"/>
      <c r="AV2204" s="51"/>
    </row>
    <row r="2205" spans="46:48">
      <c r="AT2205" s="51"/>
      <c r="AV2205" s="51"/>
    </row>
    <row r="2206" spans="46:48">
      <c r="AT2206" s="51"/>
      <c r="AV2206" s="51"/>
    </row>
    <row r="2207" spans="46:48">
      <c r="AT2207" s="51"/>
      <c r="AV2207" s="51"/>
    </row>
    <row r="2208" spans="46:48">
      <c r="AT2208" s="51"/>
      <c r="AV2208" s="51"/>
    </row>
    <row r="2209" spans="46:48">
      <c r="AT2209" s="51"/>
      <c r="AV2209" s="51"/>
    </row>
    <row r="2210" spans="46:48">
      <c r="AT2210" s="51"/>
      <c r="AV2210" s="51"/>
    </row>
    <row r="2211" spans="46:48">
      <c r="AT2211" s="51"/>
      <c r="AV2211" s="51"/>
    </row>
    <row r="2212" spans="46:48">
      <c r="AT2212" s="51"/>
      <c r="AV2212" s="51"/>
    </row>
    <row r="2213" spans="46:48">
      <c r="AT2213" s="51"/>
      <c r="AV2213" s="51"/>
    </row>
    <row r="2214" spans="46:48">
      <c r="AT2214" s="51"/>
      <c r="AV2214" s="51"/>
    </row>
    <row r="2215" spans="46:48">
      <c r="AT2215" s="51"/>
      <c r="AV2215" s="51"/>
    </row>
    <row r="2216" spans="46:48">
      <c r="AT2216" s="51"/>
      <c r="AV2216" s="51"/>
    </row>
    <row r="2217" spans="46:48">
      <c r="AT2217" s="51"/>
      <c r="AV2217" s="51"/>
    </row>
    <row r="2218" spans="46:48">
      <c r="AT2218" s="51"/>
      <c r="AV2218" s="51"/>
    </row>
    <row r="2219" spans="46:48">
      <c r="AT2219" s="51"/>
      <c r="AV2219" s="51"/>
    </row>
    <row r="2220" spans="46:48">
      <c r="AT2220" s="51"/>
      <c r="AV2220" s="51"/>
    </row>
    <row r="2221" spans="46:48">
      <c r="AT2221" s="51"/>
      <c r="AV2221" s="51"/>
    </row>
    <row r="2222" spans="46:48">
      <c r="AT2222" s="51"/>
      <c r="AV2222" s="51"/>
    </row>
    <row r="2223" spans="46:48">
      <c r="AT2223" s="51"/>
      <c r="AV2223" s="51"/>
    </row>
    <row r="2224" spans="46:48">
      <c r="AT2224" s="51"/>
      <c r="AV2224" s="51"/>
    </row>
    <row r="2225" spans="46:48">
      <c r="AT2225" s="51"/>
      <c r="AV2225" s="51"/>
    </row>
    <row r="2226" spans="46:48">
      <c r="AT2226" s="51"/>
      <c r="AV2226" s="51"/>
    </row>
    <row r="2227" spans="46:48">
      <c r="AT2227" s="51"/>
      <c r="AV2227" s="51"/>
    </row>
    <row r="2228" spans="46:48">
      <c r="AT2228" s="51"/>
      <c r="AV2228" s="51"/>
    </row>
    <row r="2229" spans="46:48">
      <c r="AT2229" s="51"/>
      <c r="AV2229" s="51"/>
    </row>
    <row r="2230" spans="46:48">
      <c r="AT2230" s="51"/>
      <c r="AV2230" s="51"/>
    </row>
    <row r="2231" spans="46:48">
      <c r="AT2231" s="51"/>
      <c r="AV2231" s="51"/>
    </row>
    <row r="2232" spans="46:48">
      <c r="AT2232" s="51"/>
      <c r="AV2232" s="51"/>
    </row>
    <row r="2233" spans="46:48">
      <c r="AT2233" s="51"/>
      <c r="AV2233" s="51"/>
    </row>
    <row r="2234" spans="46:48">
      <c r="AT2234" s="51"/>
      <c r="AV2234" s="51"/>
    </row>
    <row r="2235" spans="46:48">
      <c r="AT2235" s="51"/>
      <c r="AV2235" s="51"/>
    </row>
    <row r="2236" spans="46:48">
      <c r="AT2236" s="51"/>
      <c r="AV2236" s="51"/>
    </row>
    <row r="2237" spans="46:48">
      <c r="AT2237" s="51"/>
      <c r="AV2237" s="51"/>
    </row>
    <row r="2238" spans="46:48">
      <c r="AT2238" s="51"/>
      <c r="AV2238" s="51"/>
    </row>
    <row r="2239" spans="46:48">
      <c r="AT2239" s="51"/>
      <c r="AV2239" s="51"/>
    </row>
    <row r="2240" spans="46:48">
      <c r="AT2240" s="51"/>
      <c r="AV2240" s="51"/>
    </row>
    <row r="2241" spans="46:48">
      <c r="AT2241" s="51"/>
      <c r="AV2241" s="51"/>
    </row>
    <row r="2242" spans="46:48">
      <c r="AT2242" s="51"/>
      <c r="AV2242" s="51"/>
    </row>
    <row r="2243" spans="46:48">
      <c r="AT2243" s="51"/>
      <c r="AV2243" s="51"/>
    </row>
    <row r="2244" spans="46:48">
      <c r="AT2244" s="51"/>
      <c r="AV2244" s="51"/>
    </row>
    <row r="2245" spans="46:48">
      <c r="AT2245" s="51"/>
      <c r="AV2245" s="51"/>
    </row>
    <row r="2246" spans="46:48">
      <c r="AT2246" s="51"/>
      <c r="AV2246" s="51"/>
    </row>
    <row r="2247" spans="46:48">
      <c r="AT2247" s="51"/>
      <c r="AV2247" s="51"/>
    </row>
    <row r="2248" spans="46:48">
      <c r="AT2248" s="51"/>
      <c r="AV2248" s="51"/>
    </row>
    <row r="2249" spans="46:48">
      <c r="AT2249" s="51"/>
      <c r="AV2249" s="51"/>
    </row>
    <row r="2250" spans="46:48">
      <c r="AT2250" s="51"/>
      <c r="AV2250" s="51"/>
    </row>
    <row r="2251" spans="46:48">
      <c r="AT2251" s="51"/>
      <c r="AV2251" s="51"/>
    </row>
    <row r="2252" spans="46:48">
      <c r="AT2252" s="51"/>
      <c r="AV2252" s="51"/>
    </row>
    <row r="2253" spans="46:48">
      <c r="AT2253" s="51"/>
      <c r="AV2253" s="51"/>
    </row>
    <row r="2254" spans="46:48">
      <c r="AT2254" s="51"/>
      <c r="AV2254" s="51"/>
    </row>
    <row r="2255" spans="46:48">
      <c r="AT2255" s="51"/>
      <c r="AV2255" s="51"/>
    </row>
    <row r="2256" spans="46:48">
      <c r="AT2256" s="51"/>
      <c r="AV2256" s="51"/>
    </row>
    <row r="2257" spans="46:48">
      <c r="AT2257" s="51"/>
      <c r="AV2257" s="51"/>
    </row>
    <row r="2258" spans="46:48">
      <c r="AT2258" s="51"/>
      <c r="AV2258" s="51"/>
    </row>
    <row r="2259" spans="46:48">
      <c r="AT2259" s="51"/>
      <c r="AV2259" s="51"/>
    </row>
    <row r="2260" spans="46:48">
      <c r="AT2260" s="51"/>
      <c r="AV2260" s="51"/>
    </row>
    <row r="2261" spans="46:48">
      <c r="AT2261" s="51"/>
      <c r="AV2261" s="51"/>
    </row>
    <row r="2262" spans="46:48">
      <c r="AT2262" s="51"/>
      <c r="AV2262" s="51"/>
    </row>
    <row r="2263" spans="46:48">
      <c r="AT2263" s="51"/>
      <c r="AV2263" s="51"/>
    </row>
    <row r="2264" spans="46:48">
      <c r="AT2264" s="51"/>
      <c r="AV2264" s="51"/>
    </row>
    <row r="2265" spans="46:48">
      <c r="AT2265" s="51"/>
      <c r="AV2265" s="51"/>
    </row>
    <row r="2266" spans="46:48">
      <c r="AT2266" s="51"/>
      <c r="AV2266" s="51"/>
    </row>
    <row r="2267" spans="46:48">
      <c r="AT2267" s="51"/>
      <c r="AV2267" s="51"/>
    </row>
    <row r="2268" spans="46:48">
      <c r="AT2268" s="51"/>
      <c r="AV2268" s="51"/>
    </row>
    <row r="2269" spans="46:48">
      <c r="AT2269" s="51"/>
      <c r="AV2269" s="51"/>
    </row>
    <row r="2270" spans="46:48">
      <c r="AT2270" s="51"/>
      <c r="AV2270" s="51"/>
    </row>
    <row r="2271" spans="46:48">
      <c r="AT2271" s="51"/>
      <c r="AV2271" s="51"/>
    </row>
    <row r="2272" spans="46:48">
      <c r="AT2272" s="51"/>
      <c r="AV2272" s="51"/>
    </row>
    <row r="2273" spans="46:48">
      <c r="AT2273" s="51"/>
      <c r="AV2273" s="51"/>
    </row>
    <row r="2274" spans="46:48">
      <c r="AT2274" s="51"/>
      <c r="AV2274" s="51"/>
    </row>
    <row r="2275" spans="46:48">
      <c r="AT2275" s="51"/>
      <c r="AV2275" s="51"/>
    </row>
    <row r="2276" spans="46:48">
      <c r="AT2276" s="51"/>
      <c r="AV2276" s="51"/>
    </row>
    <row r="2277" spans="46:48">
      <c r="AT2277" s="51"/>
      <c r="AV2277" s="51"/>
    </row>
    <row r="2278" spans="46:48">
      <c r="AT2278" s="51"/>
      <c r="AV2278" s="51"/>
    </row>
    <row r="2279" spans="46:48">
      <c r="AT2279" s="51"/>
      <c r="AV2279" s="51"/>
    </row>
    <row r="2280" spans="46:48">
      <c r="AT2280" s="51"/>
      <c r="AV2280" s="51"/>
    </row>
    <row r="2281" spans="46:48">
      <c r="AT2281" s="51"/>
      <c r="AV2281" s="51"/>
    </row>
    <row r="2282" spans="46:48">
      <c r="AT2282" s="51"/>
      <c r="AV2282" s="51"/>
    </row>
    <row r="2283" spans="46:48">
      <c r="AT2283" s="51"/>
      <c r="AV2283" s="51"/>
    </row>
    <row r="2284" spans="46:48">
      <c r="AT2284" s="51"/>
      <c r="AV2284" s="51"/>
    </row>
    <row r="2285" spans="46:48">
      <c r="AT2285" s="51"/>
      <c r="AV2285" s="51"/>
    </row>
    <row r="2286" spans="46:48">
      <c r="AT2286" s="51"/>
      <c r="AV2286" s="51"/>
    </row>
    <row r="2287" spans="46:48">
      <c r="AT2287" s="51"/>
      <c r="AV2287" s="51"/>
    </row>
    <row r="2288" spans="46:48">
      <c r="AT2288" s="51"/>
      <c r="AV2288" s="51"/>
    </row>
    <row r="2289" spans="46:48">
      <c r="AT2289" s="51"/>
      <c r="AV2289" s="51"/>
    </row>
    <row r="2290" spans="46:48">
      <c r="AT2290" s="51"/>
      <c r="AV2290" s="51"/>
    </row>
    <row r="2291" spans="46:48">
      <c r="AT2291" s="51"/>
      <c r="AV2291" s="51"/>
    </row>
    <row r="2292" spans="46:48">
      <c r="AT2292" s="51"/>
      <c r="AV2292" s="51"/>
    </row>
    <row r="2293" spans="46:48">
      <c r="AT2293" s="51"/>
      <c r="AV2293" s="51"/>
    </row>
    <row r="2294" spans="46:48">
      <c r="AT2294" s="51"/>
      <c r="AV2294" s="51"/>
    </row>
    <row r="2295" spans="46:48">
      <c r="AT2295" s="51"/>
      <c r="AV2295" s="51"/>
    </row>
    <row r="2296" spans="46:48">
      <c r="AT2296" s="51"/>
      <c r="AV2296" s="51"/>
    </row>
    <row r="2297" spans="46:48">
      <c r="AT2297" s="51"/>
      <c r="AV2297" s="51"/>
    </row>
    <row r="2298" spans="46:48">
      <c r="AT2298" s="51"/>
      <c r="AV2298" s="51"/>
    </row>
    <row r="2299" spans="46:48">
      <c r="AT2299" s="51"/>
      <c r="AV2299" s="51"/>
    </row>
    <row r="2300" spans="46:48">
      <c r="AT2300" s="51"/>
      <c r="AV2300" s="51"/>
    </row>
    <row r="2301" spans="46:48">
      <c r="AT2301" s="51"/>
      <c r="AV2301" s="51"/>
    </row>
    <row r="2302" spans="46:48">
      <c r="AT2302" s="51"/>
      <c r="AV2302" s="51"/>
    </row>
    <row r="2303" spans="46:48">
      <c r="AT2303" s="51"/>
      <c r="AV2303" s="51"/>
    </row>
    <row r="2304" spans="46:48">
      <c r="AT2304" s="51"/>
      <c r="AV2304" s="51"/>
    </row>
    <row r="2305" spans="46:48">
      <c r="AT2305" s="51"/>
      <c r="AV2305" s="51"/>
    </row>
    <row r="2306" spans="46:48">
      <c r="AT2306" s="51"/>
      <c r="AV2306" s="51"/>
    </row>
    <row r="2307" spans="46:48">
      <c r="AT2307" s="51"/>
      <c r="AV2307" s="51"/>
    </row>
    <row r="2308" spans="46:48">
      <c r="AT2308" s="51"/>
      <c r="AV2308" s="51"/>
    </row>
    <row r="2309" spans="46:48">
      <c r="AT2309" s="51"/>
      <c r="AV2309" s="51"/>
    </row>
    <row r="2310" spans="46:48">
      <c r="AT2310" s="51"/>
      <c r="AV2310" s="51"/>
    </row>
    <row r="2311" spans="46:48">
      <c r="AT2311" s="51"/>
      <c r="AV2311" s="51"/>
    </row>
  </sheetData>
  <mergeCells count="3">
    <mergeCell ref="K7:M7"/>
    <mergeCell ref="W7:X7"/>
    <mergeCell ref="AE7:AF7"/>
  </mergeCells>
  <conditionalFormatting sqref="AT3:AT1048576">
    <cfRule type="cellIs" dxfId="0" priority="1" operator="greaterThan">
      <formula>50</formula>
    </cfRule>
  </conditionalFormatting>
  <hyperlinks>
    <hyperlink ref="K23" r:id="rId1" display="490-@"/>
    <hyperlink ref="R23" r:id="rId2" display="490-@"/>
    <hyperlink ref="AB23" r:id="rId3" display="0-@"/>
    <hyperlink ref="AB26" r:id="rId4"/>
    <hyperlink ref="Y31" r:id="rId5" display="490-@"/>
    <hyperlink ref="AB31" r:id="rId6"/>
    <hyperlink ref="AB34" r:id="rId7"/>
    <hyperlink ref="R37" r:id="rId8"/>
    <hyperlink ref="AB37" r:id="rId9"/>
    <hyperlink ref="R40" r:id="rId10"/>
    <hyperlink ref="AB40" r:id="rId11"/>
    <hyperlink ref="R49" r:id="rId12"/>
    <hyperlink ref="AB49" r:id="rId13"/>
    <hyperlink ref="R11" r:id="rId14"/>
    <hyperlink ref="AB11" r:id="rId15"/>
    <hyperlink ref="AB12" r:id="rId16"/>
    <hyperlink ref="AB14" r:id="rId17"/>
    <hyperlink ref="AB43" r:id="rId18"/>
    <hyperlink ref="R14" r:id="rId19"/>
    <hyperlink ref="R15" r:id="rId20"/>
    <hyperlink ref="R17" r:id="rId21"/>
    <hyperlink ref="AB17" r:id="rId22"/>
    <hyperlink ref="R18" r:id="rId23"/>
    <hyperlink ref="AB18" r:id="rId24"/>
    <hyperlink ref="AB19" r:id="rId25"/>
    <hyperlink ref="AB20" r:id="rId26"/>
    <hyperlink ref="AB28" r:id="rId27"/>
    <hyperlink ref="R43" r:id="rId28"/>
    <hyperlink ref="R19" r:id="rId29"/>
    <hyperlink ref="R20" r:id="rId30"/>
    <hyperlink ref="AB41" r:id="rId31"/>
    <hyperlink ref="Y38" r:id="rId32"/>
    <hyperlink ref="AB36" r:id="rId33"/>
    <hyperlink ref="Y32" r:id="rId34"/>
    <hyperlink ref="AB32" r:id="rId35"/>
    <hyperlink ref="AB29" r:id="rId36"/>
    <hyperlink ref="AB27" r:id="rId37"/>
    <hyperlink ref="AB24" r:id="rId38"/>
    <hyperlink ref="AB21" r:id="rId39"/>
    <hyperlink ref="R13" r:id="rId40"/>
    <hyperlink ref="R16" r:id="rId41"/>
    <hyperlink ref="R27" r:id="rId42"/>
    <hyperlink ref="R36" r:id="rId43"/>
    <hyperlink ref="R38" r:id="rId44"/>
    <hyperlink ref="AB51" r:id="rId45"/>
    <hyperlink ref="AB48" r:id="rId46"/>
    <hyperlink ref="Y47" r:id="rId47" display="470-@"/>
    <hyperlink ref="R25" r:id="rId48"/>
    <hyperlink ref="Y44" r:id="rId49"/>
    <hyperlink ref="Y45" r:id="rId50"/>
    <hyperlink ref="R30" r:id="rId51"/>
    <hyperlink ref="Y33" r:id="rId52"/>
    <hyperlink ref="Y39" r:id="rId53"/>
    <hyperlink ref="R47" r:id="rId54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P247"/>
  <sheetViews>
    <sheetView zoomScale="75" zoomScaleNormal="75" workbookViewId="0">
      <selection activeCell="AI39" sqref="AI39"/>
    </sheetView>
  </sheetViews>
  <sheetFormatPr defaultRowHeight="15"/>
  <cols>
    <col min="1" max="1" width="5.140625" customWidth="1"/>
    <col min="2" max="2" width="9.140625" style="51"/>
    <col min="3" max="4" width="5.140625" customWidth="1"/>
    <col min="5" max="5" width="6.85546875" style="2" customWidth="1"/>
    <col min="6" max="6" width="6" customWidth="1"/>
    <col min="7" max="7" width="13.28515625" customWidth="1"/>
    <col min="8" max="8" width="4.140625" style="7" customWidth="1"/>
    <col min="9" max="9" width="4" customWidth="1"/>
    <col min="10" max="10" width="4.7109375" style="2" customWidth="1"/>
    <col min="11" max="11" width="9.140625" customWidth="1"/>
    <col min="12" max="12" width="4.7109375" customWidth="1"/>
    <col min="13" max="13" width="5" style="3" customWidth="1"/>
    <col min="14" max="14" width="18.5703125" customWidth="1"/>
    <col min="15" max="15" width="9.140625" style="2" customWidth="1"/>
    <col min="16" max="16" width="5.5703125" customWidth="1"/>
    <col min="17" max="17" width="4.42578125" customWidth="1"/>
    <col min="18" max="18" width="4.5703125" style="2" customWidth="1"/>
    <col min="19" max="19" width="6.28515625" customWidth="1"/>
    <col min="20" max="20" width="4.85546875" style="519" customWidth="1"/>
    <col min="21" max="21" width="4.5703125" customWidth="1"/>
    <col min="22" max="22" width="9.140625" style="2" customWidth="1"/>
    <col min="23" max="23" width="7.140625" customWidth="1"/>
    <col min="24" max="24" width="5.140625" customWidth="1"/>
    <col min="25" max="25" width="6.28515625" customWidth="1"/>
    <col min="26" max="26" width="5.5703125" customWidth="1"/>
    <col min="27" max="27" width="7.28515625" style="2" customWidth="1"/>
    <col min="28" max="29" width="5.140625" customWidth="1"/>
    <col min="30" max="30" width="6.28515625" style="3" customWidth="1"/>
    <col min="31" max="31" width="6.28515625" customWidth="1"/>
    <col min="32" max="32" width="4.42578125" customWidth="1"/>
    <col min="33" max="33" width="9.140625" customWidth="1"/>
    <col min="35" max="35" width="6.7109375" customWidth="1"/>
    <col min="36" max="36" width="7.85546875" customWidth="1"/>
    <col min="39" max="43" width="5.85546875" customWidth="1"/>
    <col min="251" max="251" width="5.140625" customWidth="1"/>
    <col min="253" max="254" width="5.140625" customWidth="1"/>
    <col min="255" max="255" width="6.85546875" customWidth="1"/>
    <col min="256" max="256" width="6" customWidth="1"/>
    <col min="257" max="257" width="13.28515625" customWidth="1"/>
    <col min="258" max="258" width="4.140625" customWidth="1"/>
    <col min="259" max="259" width="4" customWidth="1"/>
    <col min="260" max="260" width="4.7109375" customWidth="1"/>
    <col min="261" max="261" width="9.140625" customWidth="1"/>
    <col min="262" max="262" width="4.7109375" customWidth="1"/>
    <col min="263" max="263" width="5" customWidth="1"/>
    <col min="264" max="264" width="4.140625" customWidth="1"/>
    <col min="265" max="265" width="18.5703125" customWidth="1"/>
    <col min="266" max="266" width="9.140625" customWidth="1"/>
    <col min="267" max="267" width="5.5703125" customWidth="1"/>
    <col min="268" max="268" width="4.42578125" customWidth="1"/>
    <col min="269" max="271" width="4.5703125" customWidth="1"/>
    <col min="272" max="272" width="4.85546875" customWidth="1"/>
    <col min="273" max="273" width="4.5703125" customWidth="1"/>
    <col min="274" max="274" width="9.140625" customWidth="1"/>
    <col min="275" max="275" width="7.140625" customWidth="1"/>
    <col min="276" max="276" width="5.140625" customWidth="1"/>
    <col min="277" max="277" width="6.28515625" customWidth="1"/>
    <col min="278" max="278" width="5.5703125" customWidth="1"/>
    <col min="279" max="279" width="5.140625" customWidth="1"/>
    <col min="280" max="280" width="7.28515625" customWidth="1"/>
    <col min="281" max="282" width="5.140625" customWidth="1"/>
    <col min="283" max="283" width="4.28515625" customWidth="1"/>
    <col min="284" max="285" width="6.28515625" customWidth="1"/>
    <col min="286" max="286" width="4.42578125" customWidth="1"/>
    <col min="287" max="287" width="9.140625" customWidth="1"/>
    <col min="289" max="289" width="6.7109375" customWidth="1"/>
    <col min="290" max="290" width="7.85546875" customWidth="1"/>
    <col min="291" max="291" width="5.28515625" customWidth="1"/>
    <col min="294" max="299" width="5.85546875" customWidth="1"/>
    <col min="507" max="507" width="5.140625" customWidth="1"/>
    <col min="509" max="510" width="5.140625" customWidth="1"/>
    <col min="511" max="511" width="6.85546875" customWidth="1"/>
    <col min="512" max="512" width="6" customWidth="1"/>
    <col min="513" max="513" width="13.28515625" customWidth="1"/>
    <col min="514" max="514" width="4.140625" customWidth="1"/>
    <col min="515" max="515" width="4" customWidth="1"/>
    <col min="516" max="516" width="4.7109375" customWidth="1"/>
    <col min="517" max="517" width="9.140625" customWidth="1"/>
    <col min="518" max="518" width="4.7109375" customWidth="1"/>
    <col min="519" max="519" width="5" customWidth="1"/>
    <col min="520" max="520" width="4.140625" customWidth="1"/>
    <col min="521" max="521" width="18.5703125" customWidth="1"/>
    <col min="522" max="522" width="9.140625" customWidth="1"/>
    <col min="523" max="523" width="5.5703125" customWidth="1"/>
    <col min="524" max="524" width="4.42578125" customWidth="1"/>
    <col min="525" max="527" width="4.5703125" customWidth="1"/>
    <col min="528" max="528" width="4.85546875" customWidth="1"/>
    <col min="529" max="529" width="4.5703125" customWidth="1"/>
    <col min="530" max="530" width="9.140625" customWidth="1"/>
    <col min="531" max="531" width="7.140625" customWidth="1"/>
    <col min="532" max="532" width="5.140625" customWidth="1"/>
    <col min="533" max="533" width="6.28515625" customWidth="1"/>
    <col min="534" max="534" width="5.5703125" customWidth="1"/>
    <col min="535" max="535" width="5.140625" customWidth="1"/>
    <col min="536" max="536" width="7.28515625" customWidth="1"/>
    <col min="537" max="538" width="5.140625" customWidth="1"/>
    <col min="539" max="539" width="4.28515625" customWidth="1"/>
    <col min="540" max="541" width="6.28515625" customWidth="1"/>
    <col min="542" max="542" width="4.42578125" customWidth="1"/>
    <col min="543" max="543" width="9.140625" customWidth="1"/>
    <col min="545" max="545" width="6.7109375" customWidth="1"/>
    <col min="546" max="546" width="7.85546875" customWidth="1"/>
    <col min="547" max="547" width="5.28515625" customWidth="1"/>
    <col min="550" max="555" width="5.85546875" customWidth="1"/>
    <col min="763" max="763" width="5.140625" customWidth="1"/>
    <col min="765" max="766" width="5.140625" customWidth="1"/>
    <col min="767" max="767" width="6.85546875" customWidth="1"/>
    <col min="768" max="768" width="6" customWidth="1"/>
    <col min="769" max="769" width="13.28515625" customWidth="1"/>
    <col min="770" max="770" width="4.140625" customWidth="1"/>
    <col min="771" max="771" width="4" customWidth="1"/>
    <col min="772" max="772" width="4.7109375" customWidth="1"/>
    <col min="773" max="773" width="9.140625" customWidth="1"/>
    <col min="774" max="774" width="4.7109375" customWidth="1"/>
    <col min="775" max="775" width="5" customWidth="1"/>
    <col min="776" max="776" width="4.140625" customWidth="1"/>
    <col min="777" max="777" width="18.5703125" customWidth="1"/>
    <col min="778" max="778" width="9.140625" customWidth="1"/>
    <col min="779" max="779" width="5.5703125" customWidth="1"/>
    <col min="780" max="780" width="4.42578125" customWidth="1"/>
    <col min="781" max="783" width="4.5703125" customWidth="1"/>
    <col min="784" max="784" width="4.85546875" customWidth="1"/>
    <col min="785" max="785" width="4.5703125" customWidth="1"/>
    <col min="786" max="786" width="9.140625" customWidth="1"/>
    <col min="787" max="787" width="7.140625" customWidth="1"/>
    <col min="788" max="788" width="5.140625" customWidth="1"/>
    <col min="789" max="789" width="6.28515625" customWidth="1"/>
    <col min="790" max="790" width="5.5703125" customWidth="1"/>
    <col min="791" max="791" width="5.140625" customWidth="1"/>
    <col min="792" max="792" width="7.28515625" customWidth="1"/>
    <col min="793" max="794" width="5.140625" customWidth="1"/>
    <col min="795" max="795" width="4.28515625" customWidth="1"/>
    <col min="796" max="797" width="6.28515625" customWidth="1"/>
    <col min="798" max="798" width="4.42578125" customWidth="1"/>
    <col min="799" max="799" width="9.140625" customWidth="1"/>
    <col min="801" max="801" width="6.7109375" customWidth="1"/>
    <col min="802" max="802" width="7.85546875" customWidth="1"/>
    <col min="803" max="803" width="5.28515625" customWidth="1"/>
    <col min="806" max="811" width="5.85546875" customWidth="1"/>
    <col min="1019" max="1019" width="5.140625" customWidth="1"/>
    <col min="1021" max="1022" width="5.140625" customWidth="1"/>
    <col min="1023" max="1023" width="6.85546875" customWidth="1"/>
    <col min="1024" max="1024" width="6" customWidth="1"/>
    <col min="1025" max="1025" width="13.28515625" customWidth="1"/>
    <col min="1026" max="1026" width="4.140625" customWidth="1"/>
    <col min="1027" max="1027" width="4" customWidth="1"/>
    <col min="1028" max="1028" width="4.7109375" customWidth="1"/>
    <col min="1029" max="1029" width="9.140625" customWidth="1"/>
    <col min="1030" max="1030" width="4.7109375" customWidth="1"/>
    <col min="1031" max="1031" width="5" customWidth="1"/>
    <col min="1032" max="1032" width="4.140625" customWidth="1"/>
    <col min="1033" max="1033" width="18.5703125" customWidth="1"/>
    <col min="1034" max="1034" width="9.140625" customWidth="1"/>
    <col min="1035" max="1035" width="5.5703125" customWidth="1"/>
    <col min="1036" max="1036" width="4.42578125" customWidth="1"/>
    <col min="1037" max="1039" width="4.5703125" customWidth="1"/>
    <col min="1040" max="1040" width="4.85546875" customWidth="1"/>
    <col min="1041" max="1041" width="4.5703125" customWidth="1"/>
    <col min="1042" max="1042" width="9.140625" customWidth="1"/>
    <col min="1043" max="1043" width="7.140625" customWidth="1"/>
    <col min="1044" max="1044" width="5.140625" customWidth="1"/>
    <col min="1045" max="1045" width="6.28515625" customWidth="1"/>
    <col min="1046" max="1046" width="5.5703125" customWidth="1"/>
    <col min="1047" max="1047" width="5.140625" customWidth="1"/>
    <col min="1048" max="1048" width="7.28515625" customWidth="1"/>
    <col min="1049" max="1050" width="5.140625" customWidth="1"/>
    <col min="1051" max="1051" width="4.28515625" customWidth="1"/>
    <col min="1052" max="1053" width="6.28515625" customWidth="1"/>
    <col min="1054" max="1054" width="4.42578125" customWidth="1"/>
    <col min="1055" max="1055" width="9.140625" customWidth="1"/>
    <col min="1057" max="1057" width="6.7109375" customWidth="1"/>
    <col min="1058" max="1058" width="7.85546875" customWidth="1"/>
    <col min="1059" max="1059" width="5.28515625" customWidth="1"/>
    <col min="1062" max="1067" width="5.85546875" customWidth="1"/>
    <col min="1275" max="1275" width="5.140625" customWidth="1"/>
    <col min="1277" max="1278" width="5.140625" customWidth="1"/>
    <col min="1279" max="1279" width="6.85546875" customWidth="1"/>
    <col min="1280" max="1280" width="6" customWidth="1"/>
    <col min="1281" max="1281" width="13.28515625" customWidth="1"/>
    <col min="1282" max="1282" width="4.140625" customWidth="1"/>
    <col min="1283" max="1283" width="4" customWidth="1"/>
    <col min="1284" max="1284" width="4.7109375" customWidth="1"/>
    <col min="1285" max="1285" width="9.140625" customWidth="1"/>
    <col min="1286" max="1286" width="4.7109375" customWidth="1"/>
    <col min="1287" max="1287" width="5" customWidth="1"/>
    <col min="1288" max="1288" width="4.140625" customWidth="1"/>
    <col min="1289" max="1289" width="18.5703125" customWidth="1"/>
    <col min="1290" max="1290" width="9.140625" customWidth="1"/>
    <col min="1291" max="1291" width="5.5703125" customWidth="1"/>
    <col min="1292" max="1292" width="4.42578125" customWidth="1"/>
    <col min="1293" max="1295" width="4.5703125" customWidth="1"/>
    <col min="1296" max="1296" width="4.85546875" customWidth="1"/>
    <col min="1297" max="1297" width="4.5703125" customWidth="1"/>
    <col min="1298" max="1298" width="9.140625" customWidth="1"/>
    <col min="1299" max="1299" width="7.140625" customWidth="1"/>
    <col min="1300" max="1300" width="5.140625" customWidth="1"/>
    <col min="1301" max="1301" width="6.28515625" customWidth="1"/>
    <col min="1302" max="1302" width="5.5703125" customWidth="1"/>
    <col min="1303" max="1303" width="5.140625" customWidth="1"/>
    <col min="1304" max="1304" width="7.28515625" customWidth="1"/>
    <col min="1305" max="1306" width="5.140625" customWidth="1"/>
    <col min="1307" max="1307" width="4.28515625" customWidth="1"/>
    <col min="1308" max="1309" width="6.28515625" customWidth="1"/>
    <col min="1310" max="1310" width="4.42578125" customWidth="1"/>
    <col min="1311" max="1311" width="9.140625" customWidth="1"/>
    <col min="1313" max="1313" width="6.7109375" customWidth="1"/>
    <col min="1314" max="1314" width="7.85546875" customWidth="1"/>
    <col min="1315" max="1315" width="5.28515625" customWidth="1"/>
    <col min="1318" max="1323" width="5.85546875" customWidth="1"/>
    <col min="1531" max="1531" width="5.140625" customWidth="1"/>
    <col min="1533" max="1534" width="5.140625" customWidth="1"/>
    <col min="1535" max="1535" width="6.85546875" customWidth="1"/>
    <col min="1536" max="1536" width="6" customWidth="1"/>
    <col min="1537" max="1537" width="13.28515625" customWidth="1"/>
    <col min="1538" max="1538" width="4.140625" customWidth="1"/>
    <col min="1539" max="1539" width="4" customWidth="1"/>
    <col min="1540" max="1540" width="4.7109375" customWidth="1"/>
    <col min="1541" max="1541" width="9.140625" customWidth="1"/>
    <col min="1542" max="1542" width="4.7109375" customWidth="1"/>
    <col min="1543" max="1543" width="5" customWidth="1"/>
    <col min="1544" max="1544" width="4.140625" customWidth="1"/>
    <col min="1545" max="1545" width="18.5703125" customWidth="1"/>
    <col min="1546" max="1546" width="9.140625" customWidth="1"/>
    <col min="1547" max="1547" width="5.5703125" customWidth="1"/>
    <col min="1548" max="1548" width="4.42578125" customWidth="1"/>
    <col min="1549" max="1551" width="4.5703125" customWidth="1"/>
    <col min="1552" max="1552" width="4.85546875" customWidth="1"/>
    <col min="1553" max="1553" width="4.5703125" customWidth="1"/>
    <col min="1554" max="1554" width="9.140625" customWidth="1"/>
    <col min="1555" max="1555" width="7.140625" customWidth="1"/>
    <col min="1556" max="1556" width="5.140625" customWidth="1"/>
    <col min="1557" max="1557" width="6.28515625" customWidth="1"/>
    <col min="1558" max="1558" width="5.5703125" customWidth="1"/>
    <col min="1559" max="1559" width="5.140625" customWidth="1"/>
    <col min="1560" max="1560" width="7.28515625" customWidth="1"/>
    <col min="1561" max="1562" width="5.140625" customWidth="1"/>
    <col min="1563" max="1563" width="4.28515625" customWidth="1"/>
    <col min="1564" max="1565" width="6.28515625" customWidth="1"/>
    <col min="1566" max="1566" width="4.42578125" customWidth="1"/>
    <col min="1567" max="1567" width="9.140625" customWidth="1"/>
    <col min="1569" max="1569" width="6.7109375" customWidth="1"/>
    <col min="1570" max="1570" width="7.85546875" customWidth="1"/>
    <col min="1571" max="1571" width="5.28515625" customWidth="1"/>
    <col min="1574" max="1579" width="5.85546875" customWidth="1"/>
    <col min="1787" max="1787" width="5.140625" customWidth="1"/>
    <col min="1789" max="1790" width="5.140625" customWidth="1"/>
    <col min="1791" max="1791" width="6.85546875" customWidth="1"/>
    <col min="1792" max="1792" width="6" customWidth="1"/>
    <col min="1793" max="1793" width="13.28515625" customWidth="1"/>
    <col min="1794" max="1794" width="4.140625" customWidth="1"/>
    <col min="1795" max="1795" width="4" customWidth="1"/>
    <col min="1796" max="1796" width="4.7109375" customWidth="1"/>
    <col min="1797" max="1797" width="9.140625" customWidth="1"/>
    <col min="1798" max="1798" width="4.7109375" customWidth="1"/>
    <col min="1799" max="1799" width="5" customWidth="1"/>
    <col min="1800" max="1800" width="4.140625" customWidth="1"/>
    <col min="1801" max="1801" width="18.5703125" customWidth="1"/>
    <col min="1802" max="1802" width="9.140625" customWidth="1"/>
    <col min="1803" max="1803" width="5.5703125" customWidth="1"/>
    <col min="1804" max="1804" width="4.42578125" customWidth="1"/>
    <col min="1805" max="1807" width="4.5703125" customWidth="1"/>
    <col min="1808" max="1808" width="4.85546875" customWidth="1"/>
    <col min="1809" max="1809" width="4.5703125" customWidth="1"/>
    <col min="1810" max="1810" width="9.140625" customWidth="1"/>
    <col min="1811" max="1811" width="7.140625" customWidth="1"/>
    <col min="1812" max="1812" width="5.140625" customWidth="1"/>
    <col min="1813" max="1813" width="6.28515625" customWidth="1"/>
    <col min="1814" max="1814" width="5.5703125" customWidth="1"/>
    <col min="1815" max="1815" width="5.140625" customWidth="1"/>
    <col min="1816" max="1816" width="7.28515625" customWidth="1"/>
    <col min="1817" max="1818" width="5.140625" customWidth="1"/>
    <col min="1819" max="1819" width="4.28515625" customWidth="1"/>
    <col min="1820" max="1821" width="6.28515625" customWidth="1"/>
    <col min="1822" max="1822" width="4.42578125" customWidth="1"/>
    <col min="1823" max="1823" width="9.140625" customWidth="1"/>
    <col min="1825" max="1825" width="6.7109375" customWidth="1"/>
    <col min="1826" max="1826" width="7.85546875" customWidth="1"/>
    <col min="1827" max="1827" width="5.28515625" customWidth="1"/>
    <col min="1830" max="1835" width="5.85546875" customWidth="1"/>
    <col min="2043" max="2043" width="5.140625" customWidth="1"/>
    <col min="2045" max="2046" width="5.140625" customWidth="1"/>
    <col min="2047" max="2047" width="6.85546875" customWidth="1"/>
    <col min="2048" max="2048" width="6" customWidth="1"/>
    <col min="2049" max="2049" width="13.28515625" customWidth="1"/>
    <col min="2050" max="2050" width="4.140625" customWidth="1"/>
    <col min="2051" max="2051" width="4" customWidth="1"/>
    <col min="2052" max="2052" width="4.7109375" customWidth="1"/>
    <col min="2053" max="2053" width="9.140625" customWidth="1"/>
    <col min="2054" max="2054" width="4.7109375" customWidth="1"/>
    <col min="2055" max="2055" width="5" customWidth="1"/>
    <col min="2056" max="2056" width="4.140625" customWidth="1"/>
    <col min="2057" max="2057" width="18.5703125" customWidth="1"/>
    <col min="2058" max="2058" width="9.140625" customWidth="1"/>
    <col min="2059" max="2059" width="5.5703125" customWidth="1"/>
    <col min="2060" max="2060" width="4.42578125" customWidth="1"/>
    <col min="2061" max="2063" width="4.5703125" customWidth="1"/>
    <col min="2064" max="2064" width="4.85546875" customWidth="1"/>
    <col min="2065" max="2065" width="4.5703125" customWidth="1"/>
    <col min="2066" max="2066" width="9.140625" customWidth="1"/>
    <col min="2067" max="2067" width="7.140625" customWidth="1"/>
    <col min="2068" max="2068" width="5.140625" customWidth="1"/>
    <col min="2069" max="2069" width="6.28515625" customWidth="1"/>
    <col min="2070" max="2070" width="5.5703125" customWidth="1"/>
    <col min="2071" max="2071" width="5.140625" customWidth="1"/>
    <col min="2072" max="2072" width="7.28515625" customWidth="1"/>
    <col min="2073" max="2074" width="5.140625" customWidth="1"/>
    <col min="2075" max="2075" width="4.28515625" customWidth="1"/>
    <col min="2076" max="2077" width="6.28515625" customWidth="1"/>
    <col min="2078" max="2078" width="4.42578125" customWidth="1"/>
    <col min="2079" max="2079" width="9.140625" customWidth="1"/>
    <col min="2081" max="2081" width="6.7109375" customWidth="1"/>
    <col min="2082" max="2082" width="7.85546875" customWidth="1"/>
    <col min="2083" max="2083" width="5.28515625" customWidth="1"/>
    <col min="2086" max="2091" width="5.85546875" customWidth="1"/>
    <col min="2299" max="2299" width="5.140625" customWidth="1"/>
    <col min="2301" max="2302" width="5.140625" customWidth="1"/>
    <col min="2303" max="2303" width="6.85546875" customWidth="1"/>
    <col min="2304" max="2304" width="6" customWidth="1"/>
    <col min="2305" max="2305" width="13.28515625" customWidth="1"/>
    <col min="2306" max="2306" width="4.140625" customWidth="1"/>
    <col min="2307" max="2307" width="4" customWidth="1"/>
    <col min="2308" max="2308" width="4.7109375" customWidth="1"/>
    <col min="2309" max="2309" width="9.140625" customWidth="1"/>
    <col min="2310" max="2310" width="4.7109375" customWidth="1"/>
    <col min="2311" max="2311" width="5" customWidth="1"/>
    <col min="2312" max="2312" width="4.140625" customWidth="1"/>
    <col min="2313" max="2313" width="18.5703125" customWidth="1"/>
    <col min="2314" max="2314" width="9.140625" customWidth="1"/>
    <col min="2315" max="2315" width="5.5703125" customWidth="1"/>
    <col min="2316" max="2316" width="4.42578125" customWidth="1"/>
    <col min="2317" max="2319" width="4.5703125" customWidth="1"/>
    <col min="2320" max="2320" width="4.85546875" customWidth="1"/>
    <col min="2321" max="2321" width="4.5703125" customWidth="1"/>
    <col min="2322" max="2322" width="9.140625" customWidth="1"/>
    <col min="2323" max="2323" width="7.140625" customWidth="1"/>
    <col min="2324" max="2324" width="5.140625" customWidth="1"/>
    <col min="2325" max="2325" width="6.28515625" customWidth="1"/>
    <col min="2326" max="2326" width="5.5703125" customWidth="1"/>
    <col min="2327" max="2327" width="5.140625" customWidth="1"/>
    <col min="2328" max="2328" width="7.28515625" customWidth="1"/>
    <col min="2329" max="2330" width="5.140625" customWidth="1"/>
    <col min="2331" max="2331" width="4.28515625" customWidth="1"/>
    <col min="2332" max="2333" width="6.28515625" customWidth="1"/>
    <col min="2334" max="2334" width="4.42578125" customWidth="1"/>
    <col min="2335" max="2335" width="9.140625" customWidth="1"/>
    <col min="2337" max="2337" width="6.7109375" customWidth="1"/>
    <col min="2338" max="2338" width="7.85546875" customWidth="1"/>
    <col min="2339" max="2339" width="5.28515625" customWidth="1"/>
    <col min="2342" max="2347" width="5.85546875" customWidth="1"/>
    <col min="2555" max="2555" width="5.140625" customWidth="1"/>
    <col min="2557" max="2558" width="5.140625" customWidth="1"/>
    <col min="2559" max="2559" width="6.85546875" customWidth="1"/>
    <col min="2560" max="2560" width="6" customWidth="1"/>
    <col min="2561" max="2561" width="13.28515625" customWidth="1"/>
    <col min="2562" max="2562" width="4.140625" customWidth="1"/>
    <col min="2563" max="2563" width="4" customWidth="1"/>
    <col min="2564" max="2564" width="4.7109375" customWidth="1"/>
    <col min="2565" max="2565" width="9.140625" customWidth="1"/>
    <col min="2566" max="2566" width="4.7109375" customWidth="1"/>
    <col min="2567" max="2567" width="5" customWidth="1"/>
    <col min="2568" max="2568" width="4.140625" customWidth="1"/>
    <col min="2569" max="2569" width="18.5703125" customWidth="1"/>
    <col min="2570" max="2570" width="9.140625" customWidth="1"/>
    <col min="2571" max="2571" width="5.5703125" customWidth="1"/>
    <col min="2572" max="2572" width="4.42578125" customWidth="1"/>
    <col min="2573" max="2575" width="4.5703125" customWidth="1"/>
    <col min="2576" max="2576" width="4.85546875" customWidth="1"/>
    <col min="2577" max="2577" width="4.5703125" customWidth="1"/>
    <col min="2578" max="2578" width="9.140625" customWidth="1"/>
    <col min="2579" max="2579" width="7.140625" customWidth="1"/>
    <col min="2580" max="2580" width="5.140625" customWidth="1"/>
    <col min="2581" max="2581" width="6.28515625" customWidth="1"/>
    <col min="2582" max="2582" width="5.5703125" customWidth="1"/>
    <col min="2583" max="2583" width="5.140625" customWidth="1"/>
    <col min="2584" max="2584" width="7.28515625" customWidth="1"/>
    <col min="2585" max="2586" width="5.140625" customWidth="1"/>
    <col min="2587" max="2587" width="4.28515625" customWidth="1"/>
    <col min="2588" max="2589" width="6.28515625" customWidth="1"/>
    <col min="2590" max="2590" width="4.42578125" customWidth="1"/>
    <col min="2591" max="2591" width="9.140625" customWidth="1"/>
    <col min="2593" max="2593" width="6.7109375" customWidth="1"/>
    <col min="2594" max="2594" width="7.85546875" customWidth="1"/>
    <col min="2595" max="2595" width="5.28515625" customWidth="1"/>
    <col min="2598" max="2603" width="5.85546875" customWidth="1"/>
    <col min="2811" max="2811" width="5.140625" customWidth="1"/>
    <col min="2813" max="2814" width="5.140625" customWidth="1"/>
    <col min="2815" max="2815" width="6.85546875" customWidth="1"/>
    <col min="2816" max="2816" width="6" customWidth="1"/>
    <col min="2817" max="2817" width="13.28515625" customWidth="1"/>
    <col min="2818" max="2818" width="4.140625" customWidth="1"/>
    <col min="2819" max="2819" width="4" customWidth="1"/>
    <col min="2820" max="2820" width="4.7109375" customWidth="1"/>
    <col min="2821" max="2821" width="9.140625" customWidth="1"/>
    <col min="2822" max="2822" width="4.7109375" customWidth="1"/>
    <col min="2823" max="2823" width="5" customWidth="1"/>
    <col min="2824" max="2824" width="4.140625" customWidth="1"/>
    <col min="2825" max="2825" width="18.5703125" customWidth="1"/>
    <col min="2826" max="2826" width="9.140625" customWidth="1"/>
    <col min="2827" max="2827" width="5.5703125" customWidth="1"/>
    <col min="2828" max="2828" width="4.42578125" customWidth="1"/>
    <col min="2829" max="2831" width="4.5703125" customWidth="1"/>
    <col min="2832" max="2832" width="4.85546875" customWidth="1"/>
    <col min="2833" max="2833" width="4.5703125" customWidth="1"/>
    <col min="2834" max="2834" width="9.140625" customWidth="1"/>
    <col min="2835" max="2835" width="7.140625" customWidth="1"/>
    <col min="2836" max="2836" width="5.140625" customWidth="1"/>
    <col min="2837" max="2837" width="6.28515625" customWidth="1"/>
    <col min="2838" max="2838" width="5.5703125" customWidth="1"/>
    <col min="2839" max="2839" width="5.140625" customWidth="1"/>
    <col min="2840" max="2840" width="7.28515625" customWidth="1"/>
    <col min="2841" max="2842" width="5.140625" customWidth="1"/>
    <col min="2843" max="2843" width="4.28515625" customWidth="1"/>
    <col min="2844" max="2845" width="6.28515625" customWidth="1"/>
    <col min="2846" max="2846" width="4.42578125" customWidth="1"/>
    <col min="2847" max="2847" width="9.140625" customWidth="1"/>
    <col min="2849" max="2849" width="6.7109375" customWidth="1"/>
    <col min="2850" max="2850" width="7.85546875" customWidth="1"/>
    <col min="2851" max="2851" width="5.28515625" customWidth="1"/>
    <col min="2854" max="2859" width="5.85546875" customWidth="1"/>
    <col min="3067" max="3067" width="5.140625" customWidth="1"/>
    <col min="3069" max="3070" width="5.140625" customWidth="1"/>
    <col min="3071" max="3071" width="6.85546875" customWidth="1"/>
    <col min="3072" max="3072" width="6" customWidth="1"/>
    <col min="3073" max="3073" width="13.28515625" customWidth="1"/>
    <col min="3074" max="3074" width="4.140625" customWidth="1"/>
    <col min="3075" max="3075" width="4" customWidth="1"/>
    <col min="3076" max="3076" width="4.7109375" customWidth="1"/>
    <col min="3077" max="3077" width="9.140625" customWidth="1"/>
    <col min="3078" max="3078" width="4.7109375" customWidth="1"/>
    <col min="3079" max="3079" width="5" customWidth="1"/>
    <col min="3080" max="3080" width="4.140625" customWidth="1"/>
    <col min="3081" max="3081" width="18.5703125" customWidth="1"/>
    <col min="3082" max="3082" width="9.140625" customWidth="1"/>
    <col min="3083" max="3083" width="5.5703125" customWidth="1"/>
    <col min="3084" max="3084" width="4.42578125" customWidth="1"/>
    <col min="3085" max="3087" width="4.5703125" customWidth="1"/>
    <col min="3088" max="3088" width="4.85546875" customWidth="1"/>
    <col min="3089" max="3089" width="4.5703125" customWidth="1"/>
    <col min="3090" max="3090" width="9.140625" customWidth="1"/>
    <col min="3091" max="3091" width="7.140625" customWidth="1"/>
    <col min="3092" max="3092" width="5.140625" customWidth="1"/>
    <col min="3093" max="3093" width="6.28515625" customWidth="1"/>
    <col min="3094" max="3094" width="5.5703125" customWidth="1"/>
    <col min="3095" max="3095" width="5.140625" customWidth="1"/>
    <col min="3096" max="3096" width="7.28515625" customWidth="1"/>
    <col min="3097" max="3098" width="5.140625" customWidth="1"/>
    <col min="3099" max="3099" width="4.28515625" customWidth="1"/>
    <col min="3100" max="3101" width="6.28515625" customWidth="1"/>
    <col min="3102" max="3102" width="4.42578125" customWidth="1"/>
    <col min="3103" max="3103" width="9.140625" customWidth="1"/>
    <col min="3105" max="3105" width="6.7109375" customWidth="1"/>
    <col min="3106" max="3106" width="7.85546875" customWidth="1"/>
    <col min="3107" max="3107" width="5.28515625" customWidth="1"/>
    <col min="3110" max="3115" width="5.85546875" customWidth="1"/>
    <col min="3323" max="3323" width="5.140625" customWidth="1"/>
    <col min="3325" max="3326" width="5.140625" customWidth="1"/>
    <col min="3327" max="3327" width="6.85546875" customWidth="1"/>
    <col min="3328" max="3328" width="6" customWidth="1"/>
    <col min="3329" max="3329" width="13.28515625" customWidth="1"/>
    <col min="3330" max="3330" width="4.140625" customWidth="1"/>
    <col min="3331" max="3331" width="4" customWidth="1"/>
    <col min="3332" max="3332" width="4.7109375" customWidth="1"/>
    <col min="3333" max="3333" width="9.140625" customWidth="1"/>
    <col min="3334" max="3334" width="4.7109375" customWidth="1"/>
    <col min="3335" max="3335" width="5" customWidth="1"/>
    <col min="3336" max="3336" width="4.140625" customWidth="1"/>
    <col min="3337" max="3337" width="18.5703125" customWidth="1"/>
    <col min="3338" max="3338" width="9.140625" customWidth="1"/>
    <col min="3339" max="3339" width="5.5703125" customWidth="1"/>
    <col min="3340" max="3340" width="4.42578125" customWidth="1"/>
    <col min="3341" max="3343" width="4.5703125" customWidth="1"/>
    <col min="3344" max="3344" width="4.85546875" customWidth="1"/>
    <col min="3345" max="3345" width="4.5703125" customWidth="1"/>
    <col min="3346" max="3346" width="9.140625" customWidth="1"/>
    <col min="3347" max="3347" width="7.140625" customWidth="1"/>
    <col min="3348" max="3348" width="5.140625" customWidth="1"/>
    <col min="3349" max="3349" width="6.28515625" customWidth="1"/>
    <col min="3350" max="3350" width="5.5703125" customWidth="1"/>
    <col min="3351" max="3351" width="5.140625" customWidth="1"/>
    <col min="3352" max="3352" width="7.28515625" customWidth="1"/>
    <col min="3353" max="3354" width="5.140625" customWidth="1"/>
    <col min="3355" max="3355" width="4.28515625" customWidth="1"/>
    <col min="3356" max="3357" width="6.28515625" customWidth="1"/>
    <col min="3358" max="3358" width="4.42578125" customWidth="1"/>
    <col min="3359" max="3359" width="9.140625" customWidth="1"/>
    <col min="3361" max="3361" width="6.7109375" customWidth="1"/>
    <col min="3362" max="3362" width="7.85546875" customWidth="1"/>
    <col min="3363" max="3363" width="5.28515625" customWidth="1"/>
    <col min="3366" max="3371" width="5.85546875" customWidth="1"/>
    <col min="3579" max="3579" width="5.140625" customWidth="1"/>
    <col min="3581" max="3582" width="5.140625" customWidth="1"/>
    <col min="3583" max="3583" width="6.85546875" customWidth="1"/>
    <col min="3584" max="3584" width="6" customWidth="1"/>
    <col min="3585" max="3585" width="13.28515625" customWidth="1"/>
    <col min="3586" max="3586" width="4.140625" customWidth="1"/>
    <col min="3587" max="3587" width="4" customWidth="1"/>
    <col min="3588" max="3588" width="4.7109375" customWidth="1"/>
    <col min="3589" max="3589" width="9.140625" customWidth="1"/>
    <col min="3590" max="3590" width="4.7109375" customWidth="1"/>
    <col min="3591" max="3591" width="5" customWidth="1"/>
    <col min="3592" max="3592" width="4.140625" customWidth="1"/>
    <col min="3593" max="3593" width="18.5703125" customWidth="1"/>
    <col min="3594" max="3594" width="9.140625" customWidth="1"/>
    <col min="3595" max="3595" width="5.5703125" customWidth="1"/>
    <col min="3596" max="3596" width="4.42578125" customWidth="1"/>
    <col min="3597" max="3599" width="4.5703125" customWidth="1"/>
    <col min="3600" max="3600" width="4.85546875" customWidth="1"/>
    <col min="3601" max="3601" width="4.5703125" customWidth="1"/>
    <col min="3602" max="3602" width="9.140625" customWidth="1"/>
    <col min="3603" max="3603" width="7.140625" customWidth="1"/>
    <col min="3604" max="3604" width="5.140625" customWidth="1"/>
    <col min="3605" max="3605" width="6.28515625" customWidth="1"/>
    <col min="3606" max="3606" width="5.5703125" customWidth="1"/>
    <col min="3607" max="3607" width="5.140625" customWidth="1"/>
    <col min="3608" max="3608" width="7.28515625" customWidth="1"/>
    <col min="3609" max="3610" width="5.140625" customWidth="1"/>
    <col min="3611" max="3611" width="4.28515625" customWidth="1"/>
    <col min="3612" max="3613" width="6.28515625" customWidth="1"/>
    <col min="3614" max="3614" width="4.42578125" customWidth="1"/>
    <col min="3615" max="3615" width="9.140625" customWidth="1"/>
    <col min="3617" max="3617" width="6.7109375" customWidth="1"/>
    <col min="3618" max="3618" width="7.85546875" customWidth="1"/>
    <col min="3619" max="3619" width="5.28515625" customWidth="1"/>
    <col min="3622" max="3627" width="5.85546875" customWidth="1"/>
    <col min="3835" max="3835" width="5.140625" customWidth="1"/>
    <col min="3837" max="3838" width="5.140625" customWidth="1"/>
    <col min="3839" max="3839" width="6.85546875" customWidth="1"/>
    <col min="3840" max="3840" width="6" customWidth="1"/>
    <col min="3841" max="3841" width="13.28515625" customWidth="1"/>
    <col min="3842" max="3842" width="4.140625" customWidth="1"/>
    <col min="3843" max="3843" width="4" customWidth="1"/>
    <col min="3844" max="3844" width="4.7109375" customWidth="1"/>
    <col min="3845" max="3845" width="9.140625" customWidth="1"/>
    <col min="3846" max="3846" width="4.7109375" customWidth="1"/>
    <col min="3847" max="3847" width="5" customWidth="1"/>
    <col min="3848" max="3848" width="4.140625" customWidth="1"/>
    <col min="3849" max="3849" width="18.5703125" customWidth="1"/>
    <col min="3850" max="3850" width="9.140625" customWidth="1"/>
    <col min="3851" max="3851" width="5.5703125" customWidth="1"/>
    <col min="3852" max="3852" width="4.42578125" customWidth="1"/>
    <col min="3853" max="3855" width="4.5703125" customWidth="1"/>
    <col min="3856" max="3856" width="4.85546875" customWidth="1"/>
    <col min="3857" max="3857" width="4.5703125" customWidth="1"/>
    <col min="3858" max="3858" width="9.140625" customWidth="1"/>
    <col min="3859" max="3859" width="7.140625" customWidth="1"/>
    <col min="3860" max="3860" width="5.140625" customWidth="1"/>
    <col min="3861" max="3861" width="6.28515625" customWidth="1"/>
    <col min="3862" max="3862" width="5.5703125" customWidth="1"/>
    <col min="3863" max="3863" width="5.140625" customWidth="1"/>
    <col min="3864" max="3864" width="7.28515625" customWidth="1"/>
    <col min="3865" max="3866" width="5.140625" customWidth="1"/>
    <col min="3867" max="3867" width="4.28515625" customWidth="1"/>
    <col min="3868" max="3869" width="6.28515625" customWidth="1"/>
    <col min="3870" max="3870" width="4.42578125" customWidth="1"/>
    <col min="3871" max="3871" width="9.140625" customWidth="1"/>
    <col min="3873" max="3873" width="6.7109375" customWidth="1"/>
    <col min="3874" max="3874" width="7.85546875" customWidth="1"/>
    <col min="3875" max="3875" width="5.28515625" customWidth="1"/>
    <col min="3878" max="3883" width="5.85546875" customWidth="1"/>
    <col min="4091" max="4091" width="5.140625" customWidth="1"/>
    <col min="4093" max="4094" width="5.140625" customWidth="1"/>
    <col min="4095" max="4095" width="6.85546875" customWidth="1"/>
    <col min="4096" max="4096" width="6" customWidth="1"/>
    <col min="4097" max="4097" width="13.28515625" customWidth="1"/>
    <col min="4098" max="4098" width="4.140625" customWidth="1"/>
    <col min="4099" max="4099" width="4" customWidth="1"/>
    <col min="4100" max="4100" width="4.7109375" customWidth="1"/>
    <col min="4101" max="4101" width="9.140625" customWidth="1"/>
    <col min="4102" max="4102" width="4.7109375" customWidth="1"/>
    <col min="4103" max="4103" width="5" customWidth="1"/>
    <col min="4104" max="4104" width="4.140625" customWidth="1"/>
    <col min="4105" max="4105" width="18.5703125" customWidth="1"/>
    <col min="4106" max="4106" width="9.140625" customWidth="1"/>
    <col min="4107" max="4107" width="5.5703125" customWidth="1"/>
    <col min="4108" max="4108" width="4.42578125" customWidth="1"/>
    <col min="4109" max="4111" width="4.5703125" customWidth="1"/>
    <col min="4112" max="4112" width="4.85546875" customWidth="1"/>
    <col min="4113" max="4113" width="4.5703125" customWidth="1"/>
    <col min="4114" max="4114" width="9.140625" customWidth="1"/>
    <col min="4115" max="4115" width="7.140625" customWidth="1"/>
    <col min="4116" max="4116" width="5.140625" customWidth="1"/>
    <col min="4117" max="4117" width="6.28515625" customWidth="1"/>
    <col min="4118" max="4118" width="5.5703125" customWidth="1"/>
    <col min="4119" max="4119" width="5.140625" customWidth="1"/>
    <col min="4120" max="4120" width="7.28515625" customWidth="1"/>
    <col min="4121" max="4122" width="5.140625" customWidth="1"/>
    <col min="4123" max="4123" width="4.28515625" customWidth="1"/>
    <col min="4124" max="4125" width="6.28515625" customWidth="1"/>
    <col min="4126" max="4126" width="4.42578125" customWidth="1"/>
    <col min="4127" max="4127" width="9.140625" customWidth="1"/>
    <col min="4129" max="4129" width="6.7109375" customWidth="1"/>
    <col min="4130" max="4130" width="7.85546875" customWidth="1"/>
    <col min="4131" max="4131" width="5.28515625" customWidth="1"/>
    <col min="4134" max="4139" width="5.85546875" customWidth="1"/>
    <col min="4347" max="4347" width="5.140625" customWidth="1"/>
    <col min="4349" max="4350" width="5.140625" customWidth="1"/>
    <col min="4351" max="4351" width="6.85546875" customWidth="1"/>
    <col min="4352" max="4352" width="6" customWidth="1"/>
    <col min="4353" max="4353" width="13.28515625" customWidth="1"/>
    <col min="4354" max="4354" width="4.140625" customWidth="1"/>
    <col min="4355" max="4355" width="4" customWidth="1"/>
    <col min="4356" max="4356" width="4.7109375" customWidth="1"/>
    <col min="4357" max="4357" width="9.140625" customWidth="1"/>
    <col min="4358" max="4358" width="4.7109375" customWidth="1"/>
    <col min="4359" max="4359" width="5" customWidth="1"/>
    <col min="4360" max="4360" width="4.140625" customWidth="1"/>
    <col min="4361" max="4361" width="18.5703125" customWidth="1"/>
    <col min="4362" max="4362" width="9.140625" customWidth="1"/>
    <col min="4363" max="4363" width="5.5703125" customWidth="1"/>
    <col min="4364" max="4364" width="4.42578125" customWidth="1"/>
    <col min="4365" max="4367" width="4.5703125" customWidth="1"/>
    <col min="4368" max="4368" width="4.85546875" customWidth="1"/>
    <col min="4369" max="4369" width="4.5703125" customWidth="1"/>
    <col min="4370" max="4370" width="9.140625" customWidth="1"/>
    <col min="4371" max="4371" width="7.140625" customWidth="1"/>
    <col min="4372" max="4372" width="5.140625" customWidth="1"/>
    <col min="4373" max="4373" width="6.28515625" customWidth="1"/>
    <col min="4374" max="4374" width="5.5703125" customWidth="1"/>
    <col min="4375" max="4375" width="5.140625" customWidth="1"/>
    <col min="4376" max="4376" width="7.28515625" customWidth="1"/>
    <col min="4377" max="4378" width="5.140625" customWidth="1"/>
    <col min="4379" max="4379" width="4.28515625" customWidth="1"/>
    <col min="4380" max="4381" width="6.28515625" customWidth="1"/>
    <col min="4382" max="4382" width="4.42578125" customWidth="1"/>
    <col min="4383" max="4383" width="9.140625" customWidth="1"/>
    <col min="4385" max="4385" width="6.7109375" customWidth="1"/>
    <col min="4386" max="4386" width="7.85546875" customWidth="1"/>
    <col min="4387" max="4387" width="5.28515625" customWidth="1"/>
    <col min="4390" max="4395" width="5.85546875" customWidth="1"/>
    <col min="4603" max="4603" width="5.140625" customWidth="1"/>
    <col min="4605" max="4606" width="5.140625" customWidth="1"/>
    <col min="4607" max="4607" width="6.85546875" customWidth="1"/>
    <col min="4608" max="4608" width="6" customWidth="1"/>
    <col min="4609" max="4609" width="13.28515625" customWidth="1"/>
    <col min="4610" max="4610" width="4.140625" customWidth="1"/>
    <col min="4611" max="4611" width="4" customWidth="1"/>
    <col min="4612" max="4612" width="4.7109375" customWidth="1"/>
    <col min="4613" max="4613" width="9.140625" customWidth="1"/>
    <col min="4614" max="4614" width="4.7109375" customWidth="1"/>
    <col min="4615" max="4615" width="5" customWidth="1"/>
    <col min="4616" max="4616" width="4.140625" customWidth="1"/>
    <col min="4617" max="4617" width="18.5703125" customWidth="1"/>
    <col min="4618" max="4618" width="9.140625" customWidth="1"/>
    <col min="4619" max="4619" width="5.5703125" customWidth="1"/>
    <col min="4620" max="4620" width="4.42578125" customWidth="1"/>
    <col min="4621" max="4623" width="4.5703125" customWidth="1"/>
    <col min="4624" max="4624" width="4.85546875" customWidth="1"/>
    <col min="4625" max="4625" width="4.5703125" customWidth="1"/>
    <col min="4626" max="4626" width="9.140625" customWidth="1"/>
    <col min="4627" max="4627" width="7.140625" customWidth="1"/>
    <col min="4628" max="4628" width="5.140625" customWidth="1"/>
    <col min="4629" max="4629" width="6.28515625" customWidth="1"/>
    <col min="4630" max="4630" width="5.5703125" customWidth="1"/>
    <col min="4631" max="4631" width="5.140625" customWidth="1"/>
    <col min="4632" max="4632" width="7.28515625" customWidth="1"/>
    <col min="4633" max="4634" width="5.140625" customWidth="1"/>
    <col min="4635" max="4635" width="4.28515625" customWidth="1"/>
    <col min="4636" max="4637" width="6.28515625" customWidth="1"/>
    <col min="4638" max="4638" width="4.42578125" customWidth="1"/>
    <col min="4639" max="4639" width="9.140625" customWidth="1"/>
    <col min="4641" max="4641" width="6.7109375" customWidth="1"/>
    <col min="4642" max="4642" width="7.85546875" customWidth="1"/>
    <col min="4643" max="4643" width="5.28515625" customWidth="1"/>
    <col min="4646" max="4651" width="5.85546875" customWidth="1"/>
    <col min="4859" max="4859" width="5.140625" customWidth="1"/>
    <col min="4861" max="4862" width="5.140625" customWidth="1"/>
    <col min="4863" max="4863" width="6.85546875" customWidth="1"/>
    <col min="4864" max="4864" width="6" customWidth="1"/>
    <col min="4865" max="4865" width="13.28515625" customWidth="1"/>
    <col min="4866" max="4866" width="4.140625" customWidth="1"/>
    <col min="4867" max="4867" width="4" customWidth="1"/>
    <col min="4868" max="4868" width="4.7109375" customWidth="1"/>
    <col min="4869" max="4869" width="9.140625" customWidth="1"/>
    <col min="4870" max="4870" width="4.7109375" customWidth="1"/>
    <col min="4871" max="4871" width="5" customWidth="1"/>
    <col min="4872" max="4872" width="4.140625" customWidth="1"/>
    <col min="4873" max="4873" width="18.5703125" customWidth="1"/>
    <col min="4874" max="4874" width="9.140625" customWidth="1"/>
    <col min="4875" max="4875" width="5.5703125" customWidth="1"/>
    <col min="4876" max="4876" width="4.42578125" customWidth="1"/>
    <col min="4877" max="4879" width="4.5703125" customWidth="1"/>
    <col min="4880" max="4880" width="4.85546875" customWidth="1"/>
    <col min="4881" max="4881" width="4.5703125" customWidth="1"/>
    <col min="4882" max="4882" width="9.140625" customWidth="1"/>
    <col min="4883" max="4883" width="7.140625" customWidth="1"/>
    <col min="4884" max="4884" width="5.140625" customWidth="1"/>
    <col min="4885" max="4885" width="6.28515625" customWidth="1"/>
    <col min="4886" max="4886" width="5.5703125" customWidth="1"/>
    <col min="4887" max="4887" width="5.140625" customWidth="1"/>
    <col min="4888" max="4888" width="7.28515625" customWidth="1"/>
    <col min="4889" max="4890" width="5.140625" customWidth="1"/>
    <col min="4891" max="4891" width="4.28515625" customWidth="1"/>
    <col min="4892" max="4893" width="6.28515625" customWidth="1"/>
    <col min="4894" max="4894" width="4.42578125" customWidth="1"/>
    <col min="4895" max="4895" width="9.140625" customWidth="1"/>
    <col min="4897" max="4897" width="6.7109375" customWidth="1"/>
    <col min="4898" max="4898" width="7.85546875" customWidth="1"/>
    <col min="4899" max="4899" width="5.28515625" customWidth="1"/>
    <col min="4902" max="4907" width="5.85546875" customWidth="1"/>
    <col min="5115" max="5115" width="5.140625" customWidth="1"/>
    <col min="5117" max="5118" width="5.140625" customWidth="1"/>
    <col min="5119" max="5119" width="6.85546875" customWidth="1"/>
    <col min="5120" max="5120" width="6" customWidth="1"/>
    <col min="5121" max="5121" width="13.28515625" customWidth="1"/>
    <col min="5122" max="5122" width="4.140625" customWidth="1"/>
    <col min="5123" max="5123" width="4" customWidth="1"/>
    <col min="5124" max="5124" width="4.7109375" customWidth="1"/>
    <col min="5125" max="5125" width="9.140625" customWidth="1"/>
    <col min="5126" max="5126" width="4.7109375" customWidth="1"/>
    <col min="5127" max="5127" width="5" customWidth="1"/>
    <col min="5128" max="5128" width="4.140625" customWidth="1"/>
    <col min="5129" max="5129" width="18.5703125" customWidth="1"/>
    <col min="5130" max="5130" width="9.140625" customWidth="1"/>
    <col min="5131" max="5131" width="5.5703125" customWidth="1"/>
    <col min="5132" max="5132" width="4.42578125" customWidth="1"/>
    <col min="5133" max="5135" width="4.5703125" customWidth="1"/>
    <col min="5136" max="5136" width="4.85546875" customWidth="1"/>
    <col min="5137" max="5137" width="4.5703125" customWidth="1"/>
    <col min="5138" max="5138" width="9.140625" customWidth="1"/>
    <col min="5139" max="5139" width="7.140625" customWidth="1"/>
    <col min="5140" max="5140" width="5.140625" customWidth="1"/>
    <col min="5141" max="5141" width="6.28515625" customWidth="1"/>
    <col min="5142" max="5142" width="5.5703125" customWidth="1"/>
    <col min="5143" max="5143" width="5.140625" customWidth="1"/>
    <col min="5144" max="5144" width="7.28515625" customWidth="1"/>
    <col min="5145" max="5146" width="5.140625" customWidth="1"/>
    <col min="5147" max="5147" width="4.28515625" customWidth="1"/>
    <col min="5148" max="5149" width="6.28515625" customWidth="1"/>
    <col min="5150" max="5150" width="4.42578125" customWidth="1"/>
    <col min="5151" max="5151" width="9.140625" customWidth="1"/>
    <col min="5153" max="5153" width="6.7109375" customWidth="1"/>
    <col min="5154" max="5154" width="7.85546875" customWidth="1"/>
    <col min="5155" max="5155" width="5.28515625" customWidth="1"/>
    <col min="5158" max="5163" width="5.85546875" customWidth="1"/>
    <col min="5371" max="5371" width="5.140625" customWidth="1"/>
    <col min="5373" max="5374" width="5.140625" customWidth="1"/>
    <col min="5375" max="5375" width="6.85546875" customWidth="1"/>
    <col min="5376" max="5376" width="6" customWidth="1"/>
    <col min="5377" max="5377" width="13.28515625" customWidth="1"/>
    <col min="5378" max="5378" width="4.140625" customWidth="1"/>
    <col min="5379" max="5379" width="4" customWidth="1"/>
    <col min="5380" max="5380" width="4.7109375" customWidth="1"/>
    <col min="5381" max="5381" width="9.140625" customWidth="1"/>
    <col min="5382" max="5382" width="4.7109375" customWidth="1"/>
    <col min="5383" max="5383" width="5" customWidth="1"/>
    <col min="5384" max="5384" width="4.140625" customWidth="1"/>
    <col min="5385" max="5385" width="18.5703125" customWidth="1"/>
    <col min="5386" max="5386" width="9.140625" customWidth="1"/>
    <col min="5387" max="5387" width="5.5703125" customWidth="1"/>
    <col min="5388" max="5388" width="4.42578125" customWidth="1"/>
    <col min="5389" max="5391" width="4.5703125" customWidth="1"/>
    <col min="5392" max="5392" width="4.85546875" customWidth="1"/>
    <col min="5393" max="5393" width="4.5703125" customWidth="1"/>
    <col min="5394" max="5394" width="9.140625" customWidth="1"/>
    <col min="5395" max="5395" width="7.140625" customWidth="1"/>
    <col min="5396" max="5396" width="5.140625" customWidth="1"/>
    <col min="5397" max="5397" width="6.28515625" customWidth="1"/>
    <col min="5398" max="5398" width="5.5703125" customWidth="1"/>
    <col min="5399" max="5399" width="5.140625" customWidth="1"/>
    <col min="5400" max="5400" width="7.28515625" customWidth="1"/>
    <col min="5401" max="5402" width="5.140625" customWidth="1"/>
    <col min="5403" max="5403" width="4.28515625" customWidth="1"/>
    <col min="5404" max="5405" width="6.28515625" customWidth="1"/>
    <col min="5406" max="5406" width="4.42578125" customWidth="1"/>
    <col min="5407" max="5407" width="9.140625" customWidth="1"/>
    <col min="5409" max="5409" width="6.7109375" customWidth="1"/>
    <col min="5410" max="5410" width="7.85546875" customWidth="1"/>
    <col min="5411" max="5411" width="5.28515625" customWidth="1"/>
    <col min="5414" max="5419" width="5.85546875" customWidth="1"/>
    <col min="5627" max="5627" width="5.140625" customWidth="1"/>
    <col min="5629" max="5630" width="5.140625" customWidth="1"/>
    <col min="5631" max="5631" width="6.85546875" customWidth="1"/>
    <col min="5632" max="5632" width="6" customWidth="1"/>
    <col min="5633" max="5633" width="13.28515625" customWidth="1"/>
    <col min="5634" max="5634" width="4.140625" customWidth="1"/>
    <col min="5635" max="5635" width="4" customWidth="1"/>
    <col min="5636" max="5636" width="4.7109375" customWidth="1"/>
    <col min="5637" max="5637" width="9.140625" customWidth="1"/>
    <col min="5638" max="5638" width="4.7109375" customWidth="1"/>
    <col min="5639" max="5639" width="5" customWidth="1"/>
    <col min="5640" max="5640" width="4.140625" customWidth="1"/>
    <col min="5641" max="5641" width="18.5703125" customWidth="1"/>
    <col min="5642" max="5642" width="9.140625" customWidth="1"/>
    <col min="5643" max="5643" width="5.5703125" customWidth="1"/>
    <col min="5644" max="5644" width="4.42578125" customWidth="1"/>
    <col min="5645" max="5647" width="4.5703125" customWidth="1"/>
    <col min="5648" max="5648" width="4.85546875" customWidth="1"/>
    <col min="5649" max="5649" width="4.5703125" customWidth="1"/>
    <col min="5650" max="5650" width="9.140625" customWidth="1"/>
    <col min="5651" max="5651" width="7.140625" customWidth="1"/>
    <col min="5652" max="5652" width="5.140625" customWidth="1"/>
    <col min="5653" max="5653" width="6.28515625" customWidth="1"/>
    <col min="5654" max="5654" width="5.5703125" customWidth="1"/>
    <col min="5655" max="5655" width="5.140625" customWidth="1"/>
    <col min="5656" max="5656" width="7.28515625" customWidth="1"/>
    <col min="5657" max="5658" width="5.140625" customWidth="1"/>
    <col min="5659" max="5659" width="4.28515625" customWidth="1"/>
    <col min="5660" max="5661" width="6.28515625" customWidth="1"/>
    <col min="5662" max="5662" width="4.42578125" customWidth="1"/>
    <col min="5663" max="5663" width="9.140625" customWidth="1"/>
    <col min="5665" max="5665" width="6.7109375" customWidth="1"/>
    <col min="5666" max="5666" width="7.85546875" customWidth="1"/>
    <col min="5667" max="5667" width="5.28515625" customWidth="1"/>
    <col min="5670" max="5675" width="5.85546875" customWidth="1"/>
    <col min="5883" max="5883" width="5.140625" customWidth="1"/>
    <col min="5885" max="5886" width="5.140625" customWidth="1"/>
    <col min="5887" max="5887" width="6.85546875" customWidth="1"/>
    <col min="5888" max="5888" width="6" customWidth="1"/>
    <col min="5889" max="5889" width="13.28515625" customWidth="1"/>
    <col min="5890" max="5890" width="4.140625" customWidth="1"/>
    <col min="5891" max="5891" width="4" customWidth="1"/>
    <col min="5892" max="5892" width="4.7109375" customWidth="1"/>
    <col min="5893" max="5893" width="9.140625" customWidth="1"/>
    <col min="5894" max="5894" width="4.7109375" customWidth="1"/>
    <col min="5895" max="5895" width="5" customWidth="1"/>
    <col min="5896" max="5896" width="4.140625" customWidth="1"/>
    <col min="5897" max="5897" width="18.5703125" customWidth="1"/>
    <col min="5898" max="5898" width="9.140625" customWidth="1"/>
    <col min="5899" max="5899" width="5.5703125" customWidth="1"/>
    <col min="5900" max="5900" width="4.42578125" customWidth="1"/>
    <col min="5901" max="5903" width="4.5703125" customWidth="1"/>
    <col min="5904" max="5904" width="4.85546875" customWidth="1"/>
    <col min="5905" max="5905" width="4.5703125" customWidth="1"/>
    <col min="5906" max="5906" width="9.140625" customWidth="1"/>
    <col min="5907" max="5907" width="7.140625" customWidth="1"/>
    <col min="5908" max="5908" width="5.140625" customWidth="1"/>
    <col min="5909" max="5909" width="6.28515625" customWidth="1"/>
    <col min="5910" max="5910" width="5.5703125" customWidth="1"/>
    <col min="5911" max="5911" width="5.140625" customWidth="1"/>
    <col min="5912" max="5912" width="7.28515625" customWidth="1"/>
    <col min="5913" max="5914" width="5.140625" customWidth="1"/>
    <col min="5915" max="5915" width="4.28515625" customWidth="1"/>
    <col min="5916" max="5917" width="6.28515625" customWidth="1"/>
    <col min="5918" max="5918" width="4.42578125" customWidth="1"/>
    <col min="5919" max="5919" width="9.140625" customWidth="1"/>
    <col min="5921" max="5921" width="6.7109375" customWidth="1"/>
    <col min="5922" max="5922" width="7.85546875" customWidth="1"/>
    <col min="5923" max="5923" width="5.28515625" customWidth="1"/>
    <col min="5926" max="5931" width="5.85546875" customWidth="1"/>
    <col min="6139" max="6139" width="5.140625" customWidth="1"/>
    <col min="6141" max="6142" width="5.140625" customWidth="1"/>
    <col min="6143" max="6143" width="6.85546875" customWidth="1"/>
    <col min="6144" max="6144" width="6" customWidth="1"/>
    <col min="6145" max="6145" width="13.28515625" customWidth="1"/>
    <col min="6146" max="6146" width="4.140625" customWidth="1"/>
    <col min="6147" max="6147" width="4" customWidth="1"/>
    <col min="6148" max="6148" width="4.7109375" customWidth="1"/>
    <col min="6149" max="6149" width="9.140625" customWidth="1"/>
    <col min="6150" max="6150" width="4.7109375" customWidth="1"/>
    <col min="6151" max="6151" width="5" customWidth="1"/>
    <col min="6152" max="6152" width="4.140625" customWidth="1"/>
    <col min="6153" max="6153" width="18.5703125" customWidth="1"/>
    <col min="6154" max="6154" width="9.140625" customWidth="1"/>
    <col min="6155" max="6155" width="5.5703125" customWidth="1"/>
    <col min="6156" max="6156" width="4.42578125" customWidth="1"/>
    <col min="6157" max="6159" width="4.5703125" customWidth="1"/>
    <col min="6160" max="6160" width="4.85546875" customWidth="1"/>
    <col min="6161" max="6161" width="4.5703125" customWidth="1"/>
    <col min="6162" max="6162" width="9.140625" customWidth="1"/>
    <col min="6163" max="6163" width="7.140625" customWidth="1"/>
    <col min="6164" max="6164" width="5.140625" customWidth="1"/>
    <col min="6165" max="6165" width="6.28515625" customWidth="1"/>
    <col min="6166" max="6166" width="5.5703125" customWidth="1"/>
    <col min="6167" max="6167" width="5.140625" customWidth="1"/>
    <col min="6168" max="6168" width="7.28515625" customWidth="1"/>
    <col min="6169" max="6170" width="5.140625" customWidth="1"/>
    <col min="6171" max="6171" width="4.28515625" customWidth="1"/>
    <col min="6172" max="6173" width="6.28515625" customWidth="1"/>
    <col min="6174" max="6174" width="4.42578125" customWidth="1"/>
    <col min="6175" max="6175" width="9.140625" customWidth="1"/>
    <col min="6177" max="6177" width="6.7109375" customWidth="1"/>
    <col min="6178" max="6178" width="7.85546875" customWidth="1"/>
    <col min="6179" max="6179" width="5.28515625" customWidth="1"/>
    <col min="6182" max="6187" width="5.85546875" customWidth="1"/>
    <col min="6395" max="6395" width="5.140625" customWidth="1"/>
    <col min="6397" max="6398" width="5.140625" customWidth="1"/>
    <col min="6399" max="6399" width="6.85546875" customWidth="1"/>
    <col min="6400" max="6400" width="6" customWidth="1"/>
    <col min="6401" max="6401" width="13.28515625" customWidth="1"/>
    <col min="6402" max="6402" width="4.140625" customWidth="1"/>
    <col min="6403" max="6403" width="4" customWidth="1"/>
    <col min="6404" max="6404" width="4.7109375" customWidth="1"/>
    <col min="6405" max="6405" width="9.140625" customWidth="1"/>
    <col min="6406" max="6406" width="4.7109375" customWidth="1"/>
    <col min="6407" max="6407" width="5" customWidth="1"/>
    <col min="6408" max="6408" width="4.140625" customWidth="1"/>
    <col min="6409" max="6409" width="18.5703125" customWidth="1"/>
    <col min="6410" max="6410" width="9.140625" customWidth="1"/>
    <col min="6411" max="6411" width="5.5703125" customWidth="1"/>
    <col min="6412" max="6412" width="4.42578125" customWidth="1"/>
    <col min="6413" max="6415" width="4.5703125" customWidth="1"/>
    <col min="6416" max="6416" width="4.85546875" customWidth="1"/>
    <col min="6417" max="6417" width="4.5703125" customWidth="1"/>
    <col min="6418" max="6418" width="9.140625" customWidth="1"/>
    <col min="6419" max="6419" width="7.140625" customWidth="1"/>
    <col min="6420" max="6420" width="5.140625" customWidth="1"/>
    <col min="6421" max="6421" width="6.28515625" customWidth="1"/>
    <col min="6422" max="6422" width="5.5703125" customWidth="1"/>
    <col min="6423" max="6423" width="5.140625" customWidth="1"/>
    <col min="6424" max="6424" width="7.28515625" customWidth="1"/>
    <col min="6425" max="6426" width="5.140625" customWidth="1"/>
    <col min="6427" max="6427" width="4.28515625" customWidth="1"/>
    <col min="6428" max="6429" width="6.28515625" customWidth="1"/>
    <col min="6430" max="6430" width="4.42578125" customWidth="1"/>
    <col min="6431" max="6431" width="9.140625" customWidth="1"/>
    <col min="6433" max="6433" width="6.7109375" customWidth="1"/>
    <col min="6434" max="6434" width="7.85546875" customWidth="1"/>
    <col min="6435" max="6435" width="5.28515625" customWidth="1"/>
    <col min="6438" max="6443" width="5.85546875" customWidth="1"/>
    <col min="6651" max="6651" width="5.140625" customWidth="1"/>
    <col min="6653" max="6654" width="5.140625" customWidth="1"/>
    <col min="6655" max="6655" width="6.85546875" customWidth="1"/>
    <col min="6656" max="6656" width="6" customWidth="1"/>
    <col min="6657" max="6657" width="13.28515625" customWidth="1"/>
    <col min="6658" max="6658" width="4.140625" customWidth="1"/>
    <col min="6659" max="6659" width="4" customWidth="1"/>
    <col min="6660" max="6660" width="4.7109375" customWidth="1"/>
    <col min="6661" max="6661" width="9.140625" customWidth="1"/>
    <col min="6662" max="6662" width="4.7109375" customWidth="1"/>
    <col min="6663" max="6663" width="5" customWidth="1"/>
    <col min="6664" max="6664" width="4.140625" customWidth="1"/>
    <col min="6665" max="6665" width="18.5703125" customWidth="1"/>
    <col min="6666" max="6666" width="9.140625" customWidth="1"/>
    <col min="6667" max="6667" width="5.5703125" customWidth="1"/>
    <col min="6668" max="6668" width="4.42578125" customWidth="1"/>
    <col min="6669" max="6671" width="4.5703125" customWidth="1"/>
    <col min="6672" max="6672" width="4.85546875" customWidth="1"/>
    <col min="6673" max="6673" width="4.5703125" customWidth="1"/>
    <col min="6674" max="6674" width="9.140625" customWidth="1"/>
    <col min="6675" max="6675" width="7.140625" customWidth="1"/>
    <col min="6676" max="6676" width="5.140625" customWidth="1"/>
    <col min="6677" max="6677" width="6.28515625" customWidth="1"/>
    <col min="6678" max="6678" width="5.5703125" customWidth="1"/>
    <col min="6679" max="6679" width="5.140625" customWidth="1"/>
    <col min="6680" max="6680" width="7.28515625" customWidth="1"/>
    <col min="6681" max="6682" width="5.140625" customWidth="1"/>
    <col min="6683" max="6683" width="4.28515625" customWidth="1"/>
    <col min="6684" max="6685" width="6.28515625" customWidth="1"/>
    <col min="6686" max="6686" width="4.42578125" customWidth="1"/>
    <col min="6687" max="6687" width="9.140625" customWidth="1"/>
    <col min="6689" max="6689" width="6.7109375" customWidth="1"/>
    <col min="6690" max="6690" width="7.85546875" customWidth="1"/>
    <col min="6691" max="6691" width="5.28515625" customWidth="1"/>
    <col min="6694" max="6699" width="5.85546875" customWidth="1"/>
    <col min="6907" max="6907" width="5.140625" customWidth="1"/>
    <col min="6909" max="6910" width="5.140625" customWidth="1"/>
    <col min="6911" max="6911" width="6.85546875" customWidth="1"/>
    <col min="6912" max="6912" width="6" customWidth="1"/>
    <col min="6913" max="6913" width="13.28515625" customWidth="1"/>
    <col min="6914" max="6914" width="4.140625" customWidth="1"/>
    <col min="6915" max="6915" width="4" customWidth="1"/>
    <col min="6916" max="6916" width="4.7109375" customWidth="1"/>
    <col min="6917" max="6917" width="9.140625" customWidth="1"/>
    <col min="6918" max="6918" width="4.7109375" customWidth="1"/>
    <col min="6919" max="6919" width="5" customWidth="1"/>
    <col min="6920" max="6920" width="4.140625" customWidth="1"/>
    <col min="6921" max="6921" width="18.5703125" customWidth="1"/>
    <col min="6922" max="6922" width="9.140625" customWidth="1"/>
    <col min="6923" max="6923" width="5.5703125" customWidth="1"/>
    <col min="6924" max="6924" width="4.42578125" customWidth="1"/>
    <col min="6925" max="6927" width="4.5703125" customWidth="1"/>
    <col min="6928" max="6928" width="4.85546875" customWidth="1"/>
    <col min="6929" max="6929" width="4.5703125" customWidth="1"/>
    <col min="6930" max="6930" width="9.140625" customWidth="1"/>
    <col min="6931" max="6931" width="7.140625" customWidth="1"/>
    <col min="6932" max="6932" width="5.140625" customWidth="1"/>
    <col min="6933" max="6933" width="6.28515625" customWidth="1"/>
    <col min="6934" max="6934" width="5.5703125" customWidth="1"/>
    <col min="6935" max="6935" width="5.140625" customWidth="1"/>
    <col min="6936" max="6936" width="7.28515625" customWidth="1"/>
    <col min="6937" max="6938" width="5.140625" customWidth="1"/>
    <col min="6939" max="6939" width="4.28515625" customWidth="1"/>
    <col min="6940" max="6941" width="6.28515625" customWidth="1"/>
    <col min="6942" max="6942" width="4.42578125" customWidth="1"/>
    <col min="6943" max="6943" width="9.140625" customWidth="1"/>
    <col min="6945" max="6945" width="6.7109375" customWidth="1"/>
    <col min="6946" max="6946" width="7.85546875" customWidth="1"/>
    <col min="6947" max="6947" width="5.28515625" customWidth="1"/>
    <col min="6950" max="6955" width="5.85546875" customWidth="1"/>
    <col min="7163" max="7163" width="5.140625" customWidth="1"/>
    <col min="7165" max="7166" width="5.140625" customWidth="1"/>
    <col min="7167" max="7167" width="6.85546875" customWidth="1"/>
    <col min="7168" max="7168" width="6" customWidth="1"/>
    <col min="7169" max="7169" width="13.28515625" customWidth="1"/>
    <col min="7170" max="7170" width="4.140625" customWidth="1"/>
    <col min="7171" max="7171" width="4" customWidth="1"/>
    <col min="7172" max="7172" width="4.7109375" customWidth="1"/>
    <col min="7173" max="7173" width="9.140625" customWidth="1"/>
    <col min="7174" max="7174" width="4.7109375" customWidth="1"/>
    <col min="7175" max="7175" width="5" customWidth="1"/>
    <col min="7176" max="7176" width="4.140625" customWidth="1"/>
    <col min="7177" max="7177" width="18.5703125" customWidth="1"/>
    <col min="7178" max="7178" width="9.140625" customWidth="1"/>
    <col min="7179" max="7179" width="5.5703125" customWidth="1"/>
    <col min="7180" max="7180" width="4.42578125" customWidth="1"/>
    <col min="7181" max="7183" width="4.5703125" customWidth="1"/>
    <col min="7184" max="7184" width="4.85546875" customWidth="1"/>
    <col min="7185" max="7185" width="4.5703125" customWidth="1"/>
    <col min="7186" max="7186" width="9.140625" customWidth="1"/>
    <col min="7187" max="7187" width="7.140625" customWidth="1"/>
    <col min="7188" max="7188" width="5.140625" customWidth="1"/>
    <col min="7189" max="7189" width="6.28515625" customWidth="1"/>
    <col min="7190" max="7190" width="5.5703125" customWidth="1"/>
    <col min="7191" max="7191" width="5.140625" customWidth="1"/>
    <col min="7192" max="7192" width="7.28515625" customWidth="1"/>
    <col min="7193" max="7194" width="5.140625" customWidth="1"/>
    <col min="7195" max="7195" width="4.28515625" customWidth="1"/>
    <col min="7196" max="7197" width="6.28515625" customWidth="1"/>
    <col min="7198" max="7198" width="4.42578125" customWidth="1"/>
    <col min="7199" max="7199" width="9.140625" customWidth="1"/>
    <col min="7201" max="7201" width="6.7109375" customWidth="1"/>
    <col min="7202" max="7202" width="7.85546875" customWidth="1"/>
    <col min="7203" max="7203" width="5.28515625" customWidth="1"/>
    <col min="7206" max="7211" width="5.85546875" customWidth="1"/>
    <col min="7419" max="7419" width="5.140625" customWidth="1"/>
    <col min="7421" max="7422" width="5.140625" customWidth="1"/>
    <col min="7423" max="7423" width="6.85546875" customWidth="1"/>
    <col min="7424" max="7424" width="6" customWidth="1"/>
    <col min="7425" max="7425" width="13.28515625" customWidth="1"/>
    <col min="7426" max="7426" width="4.140625" customWidth="1"/>
    <col min="7427" max="7427" width="4" customWidth="1"/>
    <col min="7428" max="7428" width="4.7109375" customWidth="1"/>
    <col min="7429" max="7429" width="9.140625" customWidth="1"/>
    <col min="7430" max="7430" width="4.7109375" customWidth="1"/>
    <col min="7431" max="7431" width="5" customWidth="1"/>
    <col min="7432" max="7432" width="4.140625" customWidth="1"/>
    <col min="7433" max="7433" width="18.5703125" customWidth="1"/>
    <col min="7434" max="7434" width="9.140625" customWidth="1"/>
    <col min="7435" max="7435" width="5.5703125" customWidth="1"/>
    <col min="7436" max="7436" width="4.42578125" customWidth="1"/>
    <col min="7437" max="7439" width="4.5703125" customWidth="1"/>
    <col min="7440" max="7440" width="4.85546875" customWidth="1"/>
    <col min="7441" max="7441" width="4.5703125" customWidth="1"/>
    <col min="7442" max="7442" width="9.140625" customWidth="1"/>
    <col min="7443" max="7443" width="7.140625" customWidth="1"/>
    <col min="7444" max="7444" width="5.140625" customWidth="1"/>
    <col min="7445" max="7445" width="6.28515625" customWidth="1"/>
    <col min="7446" max="7446" width="5.5703125" customWidth="1"/>
    <col min="7447" max="7447" width="5.140625" customWidth="1"/>
    <col min="7448" max="7448" width="7.28515625" customWidth="1"/>
    <col min="7449" max="7450" width="5.140625" customWidth="1"/>
    <col min="7451" max="7451" width="4.28515625" customWidth="1"/>
    <col min="7452" max="7453" width="6.28515625" customWidth="1"/>
    <col min="7454" max="7454" width="4.42578125" customWidth="1"/>
    <col min="7455" max="7455" width="9.140625" customWidth="1"/>
    <col min="7457" max="7457" width="6.7109375" customWidth="1"/>
    <col min="7458" max="7458" width="7.85546875" customWidth="1"/>
    <col min="7459" max="7459" width="5.28515625" customWidth="1"/>
    <col min="7462" max="7467" width="5.85546875" customWidth="1"/>
    <col min="7675" max="7675" width="5.140625" customWidth="1"/>
    <col min="7677" max="7678" width="5.140625" customWidth="1"/>
    <col min="7679" max="7679" width="6.85546875" customWidth="1"/>
    <col min="7680" max="7680" width="6" customWidth="1"/>
    <col min="7681" max="7681" width="13.28515625" customWidth="1"/>
    <col min="7682" max="7682" width="4.140625" customWidth="1"/>
    <col min="7683" max="7683" width="4" customWidth="1"/>
    <col min="7684" max="7684" width="4.7109375" customWidth="1"/>
    <col min="7685" max="7685" width="9.140625" customWidth="1"/>
    <col min="7686" max="7686" width="4.7109375" customWidth="1"/>
    <col min="7687" max="7687" width="5" customWidth="1"/>
    <col min="7688" max="7688" width="4.140625" customWidth="1"/>
    <col min="7689" max="7689" width="18.5703125" customWidth="1"/>
    <col min="7690" max="7690" width="9.140625" customWidth="1"/>
    <col min="7691" max="7691" width="5.5703125" customWidth="1"/>
    <col min="7692" max="7692" width="4.42578125" customWidth="1"/>
    <col min="7693" max="7695" width="4.5703125" customWidth="1"/>
    <col min="7696" max="7696" width="4.85546875" customWidth="1"/>
    <col min="7697" max="7697" width="4.5703125" customWidth="1"/>
    <col min="7698" max="7698" width="9.140625" customWidth="1"/>
    <col min="7699" max="7699" width="7.140625" customWidth="1"/>
    <col min="7700" max="7700" width="5.140625" customWidth="1"/>
    <col min="7701" max="7701" width="6.28515625" customWidth="1"/>
    <col min="7702" max="7702" width="5.5703125" customWidth="1"/>
    <col min="7703" max="7703" width="5.140625" customWidth="1"/>
    <col min="7704" max="7704" width="7.28515625" customWidth="1"/>
    <col min="7705" max="7706" width="5.140625" customWidth="1"/>
    <col min="7707" max="7707" width="4.28515625" customWidth="1"/>
    <col min="7708" max="7709" width="6.28515625" customWidth="1"/>
    <col min="7710" max="7710" width="4.42578125" customWidth="1"/>
    <col min="7711" max="7711" width="9.140625" customWidth="1"/>
    <col min="7713" max="7713" width="6.7109375" customWidth="1"/>
    <col min="7714" max="7714" width="7.85546875" customWidth="1"/>
    <col min="7715" max="7715" width="5.28515625" customWidth="1"/>
    <col min="7718" max="7723" width="5.85546875" customWidth="1"/>
    <col min="7931" max="7931" width="5.140625" customWidth="1"/>
    <col min="7933" max="7934" width="5.140625" customWidth="1"/>
    <col min="7935" max="7935" width="6.85546875" customWidth="1"/>
    <col min="7936" max="7936" width="6" customWidth="1"/>
    <col min="7937" max="7937" width="13.28515625" customWidth="1"/>
    <col min="7938" max="7938" width="4.140625" customWidth="1"/>
    <col min="7939" max="7939" width="4" customWidth="1"/>
    <col min="7940" max="7940" width="4.7109375" customWidth="1"/>
    <col min="7941" max="7941" width="9.140625" customWidth="1"/>
    <col min="7942" max="7942" width="4.7109375" customWidth="1"/>
    <col min="7943" max="7943" width="5" customWidth="1"/>
    <col min="7944" max="7944" width="4.140625" customWidth="1"/>
    <col min="7945" max="7945" width="18.5703125" customWidth="1"/>
    <col min="7946" max="7946" width="9.140625" customWidth="1"/>
    <col min="7947" max="7947" width="5.5703125" customWidth="1"/>
    <col min="7948" max="7948" width="4.42578125" customWidth="1"/>
    <col min="7949" max="7951" width="4.5703125" customWidth="1"/>
    <col min="7952" max="7952" width="4.85546875" customWidth="1"/>
    <col min="7953" max="7953" width="4.5703125" customWidth="1"/>
    <col min="7954" max="7954" width="9.140625" customWidth="1"/>
    <col min="7955" max="7955" width="7.140625" customWidth="1"/>
    <col min="7956" max="7956" width="5.140625" customWidth="1"/>
    <col min="7957" max="7957" width="6.28515625" customWidth="1"/>
    <col min="7958" max="7958" width="5.5703125" customWidth="1"/>
    <col min="7959" max="7959" width="5.140625" customWidth="1"/>
    <col min="7960" max="7960" width="7.28515625" customWidth="1"/>
    <col min="7961" max="7962" width="5.140625" customWidth="1"/>
    <col min="7963" max="7963" width="4.28515625" customWidth="1"/>
    <col min="7964" max="7965" width="6.28515625" customWidth="1"/>
    <col min="7966" max="7966" width="4.42578125" customWidth="1"/>
    <col min="7967" max="7967" width="9.140625" customWidth="1"/>
    <col min="7969" max="7969" width="6.7109375" customWidth="1"/>
    <col min="7970" max="7970" width="7.85546875" customWidth="1"/>
    <col min="7971" max="7971" width="5.28515625" customWidth="1"/>
    <col min="7974" max="7979" width="5.85546875" customWidth="1"/>
    <col min="8187" max="8187" width="5.140625" customWidth="1"/>
    <col min="8189" max="8190" width="5.140625" customWidth="1"/>
    <col min="8191" max="8191" width="6.85546875" customWidth="1"/>
    <col min="8192" max="8192" width="6" customWidth="1"/>
    <col min="8193" max="8193" width="13.28515625" customWidth="1"/>
    <col min="8194" max="8194" width="4.140625" customWidth="1"/>
    <col min="8195" max="8195" width="4" customWidth="1"/>
    <col min="8196" max="8196" width="4.7109375" customWidth="1"/>
    <col min="8197" max="8197" width="9.140625" customWidth="1"/>
    <col min="8198" max="8198" width="4.7109375" customWidth="1"/>
    <col min="8199" max="8199" width="5" customWidth="1"/>
    <col min="8200" max="8200" width="4.140625" customWidth="1"/>
    <col min="8201" max="8201" width="18.5703125" customWidth="1"/>
    <col min="8202" max="8202" width="9.140625" customWidth="1"/>
    <col min="8203" max="8203" width="5.5703125" customWidth="1"/>
    <col min="8204" max="8204" width="4.42578125" customWidth="1"/>
    <col min="8205" max="8207" width="4.5703125" customWidth="1"/>
    <col min="8208" max="8208" width="4.85546875" customWidth="1"/>
    <col min="8209" max="8209" width="4.5703125" customWidth="1"/>
    <col min="8210" max="8210" width="9.140625" customWidth="1"/>
    <col min="8211" max="8211" width="7.140625" customWidth="1"/>
    <col min="8212" max="8212" width="5.140625" customWidth="1"/>
    <col min="8213" max="8213" width="6.28515625" customWidth="1"/>
    <col min="8214" max="8214" width="5.5703125" customWidth="1"/>
    <col min="8215" max="8215" width="5.140625" customWidth="1"/>
    <col min="8216" max="8216" width="7.28515625" customWidth="1"/>
    <col min="8217" max="8218" width="5.140625" customWidth="1"/>
    <col min="8219" max="8219" width="4.28515625" customWidth="1"/>
    <col min="8220" max="8221" width="6.28515625" customWidth="1"/>
    <col min="8222" max="8222" width="4.42578125" customWidth="1"/>
    <col min="8223" max="8223" width="9.140625" customWidth="1"/>
    <col min="8225" max="8225" width="6.7109375" customWidth="1"/>
    <col min="8226" max="8226" width="7.85546875" customWidth="1"/>
    <col min="8227" max="8227" width="5.28515625" customWidth="1"/>
    <col min="8230" max="8235" width="5.85546875" customWidth="1"/>
    <col min="8443" max="8443" width="5.140625" customWidth="1"/>
    <col min="8445" max="8446" width="5.140625" customWidth="1"/>
    <col min="8447" max="8447" width="6.85546875" customWidth="1"/>
    <col min="8448" max="8448" width="6" customWidth="1"/>
    <col min="8449" max="8449" width="13.28515625" customWidth="1"/>
    <col min="8450" max="8450" width="4.140625" customWidth="1"/>
    <col min="8451" max="8451" width="4" customWidth="1"/>
    <col min="8452" max="8452" width="4.7109375" customWidth="1"/>
    <col min="8453" max="8453" width="9.140625" customWidth="1"/>
    <col min="8454" max="8454" width="4.7109375" customWidth="1"/>
    <col min="8455" max="8455" width="5" customWidth="1"/>
    <col min="8456" max="8456" width="4.140625" customWidth="1"/>
    <col min="8457" max="8457" width="18.5703125" customWidth="1"/>
    <col min="8458" max="8458" width="9.140625" customWidth="1"/>
    <col min="8459" max="8459" width="5.5703125" customWidth="1"/>
    <col min="8460" max="8460" width="4.42578125" customWidth="1"/>
    <col min="8461" max="8463" width="4.5703125" customWidth="1"/>
    <col min="8464" max="8464" width="4.85546875" customWidth="1"/>
    <col min="8465" max="8465" width="4.5703125" customWidth="1"/>
    <col min="8466" max="8466" width="9.140625" customWidth="1"/>
    <col min="8467" max="8467" width="7.140625" customWidth="1"/>
    <col min="8468" max="8468" width="5.140625" customWidth="1"/>
    <col min="8469" max="8469" width="6.28515625" customWidth="1"/>
    <col min="8470" max="8470" width="5.5703125" customWidth="1"/>
    <col min="8471" max="8471" width="5.140625" customWidth="1"/>
    <col min="8472" max="8472" width="7.28515625" customWidth="1"/>
    <col min="8473" max="8474" width="5.140625" customWidth="1"/>
    <col min="8475" max="8475" width="4.28515625" customWidth="1"/>
    <col min="8476" max="8477" width="6.28515625" customWidth="1"/>
    <col min="8478" max="8478" width="4.42578125" customWidth="1"/>
    <col min="8479" max="8479" width="9.140625" customWidth="1"/>
    <col min="8481" max="8481" width="6.7109375" customWidth="1"/>
    <col min="8482" max="8482" width="7.85546875" customWidth="1"/>
    <col min="8483" max="8483" width="5.28515625" customWidth="1"/>
    <col min="8486" max="8491" width="5.85546875" customWidth="1"/>
    <col min="8699" max="8699" width="5.140625" customWidth="1"/>
    <col min="8701" max="8702" width="5.140625" customWidth="1"/>
    <col min="8703" max="8703" width="6.85546875" customWidth="1"/>
    <col min="8704" max="8704" width="6" customWidth="1"/>
    <col min="8705" max="8705" width="13.28515625" customWidth="1"/>
    <col min="8706" max="8706" width="4.140625" customWidth="1"/>
    <col min="8707" max="8707" width="4" customWidth="1"/>
    <col min="8708" max="8708" width="4.7109375" customWidth="1"/>
    <col min="8709" max="8709" width="9.140625" customWidth="1"/>
    <col min="8710" max="8710" width="4.7109375" customWidth="1"/>
    <col min="8711" max="8711" width="5" customWidth="1"/>
    <col min="8712" max="8712" width="4.140625" customWidth="1"/>
    <col min="8713" max="8713" width="18.5703125" customWidth="1"/>
    <col min="8714" max="8714" width="9.140625" customWidth="1"/>
    <col min="8715" max="8715" width="5.5703125" customWidth="1"/>
    <col min="8716" max="8716" width="4.42578125" customWidth="1"/>
    <col min="8717" max="8719" width="4.5703125" customWidth="1"/>
    <col min="8720" max="8720" width="4.85546875" customWidth="1"/>
    <col min="8721" max="8721" width="4.5703125" customWidth="1"/>
    <col min="8722" max="8722" width="9.140625" customWidth="1"/>
    <col min="8723" max="8723" width="7.140625" customWidth="1"/>
    <col min="8724" max="8724" width="5.140625" customWidth="1"/>
    <col min="8725" max="8725" width="6.28515625" customWidth="1"/>
    <col min="8726" max="8726" width="5.5703125" customWidth="1"/>
    <col min="8727" max="8727" width="5.140625" customWidth="1"/>
    <col min="8728" max="8728" width="7.28515625" customWidth="1"/>
    <col min="8729" max="8730" width="5.140625" customWidth="1"/>
    <col min="8731" max="8731" width="4.28515625" customWidth="1"/>
    <col min="8732" max="8733" width="6.28515625" customWidth="1"/>
    <col min="8734" max="8734" width="4.42578125" customWidth="1"/>
    <col min="8735" max="8735" width="9.140625" customWidth="1"/>
    <col min="8737" max="8737" width="6.7109375" customWidth="1"/>
    <col min="8738" max="8738" width="7.85546875" customWidth="1"/>
    <col min="8739" max="8739" width="5.28515625" customWidth="1"/>
    <col min="8742" max="8747" width="5.85546875" customWidth="1"/>
    <col min="8955" max="8955" width="5.140625" customWidth="1"/>
    <col min="8957" max="8958" width="5.140625" customWidth="1"/>
    <col min="8959" max="8959" width="6.85546875" customWidth="1"/>
    <col min="8960" max="8960" width="6" customWidth="1"/>
    <col min="8961" max="8961" width="13.28515625" customWidth="1"/>
    <col min="8962" max="8962" width="4.140625" customWidth="1"/>
    <col min="8963" max="8963" width="4" customWidth="1"/>
    <col min="8964" max="8964" width="4.7109375" customWidth="1"/>
    <col min="8965" max="8965" width="9.140625" customWidth="1"/>
    <col min="8966" max="8966" width="4.7109375" customWidth="1"/>
    <col min="8967" max="8967" width="5" customWidth="1"/>
    <col min="8968" max="8968" width="4.140625" customWidth="1"/>
    <col min="8969" max="8969" width="18.5703125" customWidth="1"/>
    <col min="8970" max="8970" width="9.140625" customWidth="1"/>
    <col min="8971" max="8971" width="5.5703125" customWidth="1"/>
    <col min="8972" max="8972" width="4.42578125" customWidth="1"/>
    <col min="8973" max="8975" width="4.5703125" customWidth="1"/>
    <col min="8976" max="8976" width="4.85546875" customWidth="1"/>
    <col min="8977" max="8977" width="4.5703125" customWidth="1"/>
    <col min="8978" max="8978" width="9.140625" customWidth="1"/>
    <col min="8979" max="8979" width="7.140625" customWidth="1"/>
    <col min="8980" max="8980" width="5.140625" customWidth="1"/>
    <col min="8981" max="8981" width="6.28515625" customWidth="1"/>
    <col min="8982" max="8982" width="5.5703125" customWidth="1"/>
    <col min="8983" max="8983" width="5.140625" customWidth="1"/>
    <col min="8984" max="8984" width="7.28515625" customWidth="1"/>
    <col min="8985" max="8986" width="5.140625" customWidth="1"/>
    <col min="8987" max="8987" width="4.28515625" customWidth="1"/>
    <col min="8988" max="8989" width="6.28515625" customWidth="1"/>
    <col min="8990" max="8990" width="4.42578125" customWidth="1"/>
    <col min="8991" max="8991" width="9.140625" customWidth="1"/>
    <col min="8993" max="8993" width="6.7109375" customWidth="1"/>
    <col min="8994" max="8994" width="7.85546875" customWidth="1"/>
    <col min="8995" max="8995" width="5.28515625" customWidth="1"/>
    <col min="8998" max="9003" width="5.85546875" customWidth="1"/>
    <col min="9211" max="9211" width="5.140625" customWidth="1"/>
    <col min="9213" max="9214" width="5.140625" customWidth="1"/>
    <col min="9215" max="9215" width="6.85546875" customWidth="1"/>
    <col min="9216" max="9216" width="6" customWidth="1"/>
    <col min="9217" max="9217" width="13.28515625" customWidth="1"/>
    <col min="9218" max="9218" width="4.140625" customWidth="1"/>
    <col min="9219" max="9219" width="4" customWidth="1"/>
    <col min="9220" max="9220" width="4.7109375" customWidth="1"/>
    <col min="9221" max="9221" width="9.140625" customWidth="1"/>
    <col min="9222" max="9222" width="4.7109375" customWidth="1"/>
    <col min="9223" max="9223" width="5" customWidth="1"/>
    <col min="9224" max="9224" width="4.140625" customWidth="1"/>
    <col min="9225" max="9225" width="18.5703125" customWidth="1"/>
    <col min="9226" max="9226" width="9.140625" customWidth="1"/>
    <col min="9227" max="9227" width="5.5703125" customWidth="1"/>
    <col min="9228" max="9228" width="4.42578125" customWidth="1"/>
    <col min="9229" max="9231" width="4.5703125" customWidth="1"/>
    <col min="9232" max="9232" width="4.85546875" customWidth="1"/>
    <col min="9233" max="9233" width="4.5703125" customWidth="1"/>
    <col min="9234" max="9234" width="9.140625" customWidth="1"/>
    <col min="9235" max="9235" width="7.140625" customWidth="1"/>
    <col min="9236" max="9236" width="5.140625" customWidth="1"/>
    <col min="9237" max="9237" width="6.28515625" customWidth="1"/>
    <col min="9238" max="9238" width="5.5703125" customWidth="1"/>
    <col min="9239" max="9239" width="5.140625" customWidth="1"/>
    <col min="9240" max="9240" width="7.28515625" customWidth="1"/>
    <col min="9241" max="9242" width="5.140625" customWidth="1"/>
    <col min="9243" max="9243" width="4.28515625" customWidth="1"/>
    <col min="9244" max="9245" width="6.28515625" customWidth="1"/>
    <col min="9246" max="9246" width="4.42578125" customWidth="1"/>
    <col min="9247" max="9247" width="9.140625" customWidth="1"/>
    <col min="9249" max="9249" width="6.7109375" customWidth="1"/>
    <col min="9250" max="9250" width="7.85546875" customWidth="1"/>
    <col min="9251" max="9251" width="5.28515625" customWidth="1"/>
    <col min="9254" max="9259" width="5.85546875" customWidth="1"/>
    <col min="9467" max="9467" width="5.140625" customWidth="1"/>
    <col min="9469" max="9470" width="5.140625" customWidth="1"/>
    <col min="9471" max="9471" width="6.85546875" customWidth="1"/>
    <col min="9472" max="9472" width="6" customWidth="1"/>
    <col min="9473" max="9473" width="13.28515625" customWidth="1"/>
    <col min="9474" max="9474" width="4.140625" customWidth="1"/>
    <col min="9475" max="9475" width="4" customWidth="1"/>
    <col min="9476" max="9476" width="4.7109375" customWidth="1"/>
    <col min="9477" max="9477" width="9.140625" customWidth="1"/>
    <col min="9478" max="9478" width="4.7109375" customWidth="1"/>
    <col min="9479" max="9479" width="5" customWidth="1"/>
    <col min="9480" max="9480" width="4.140625" customWidth="1"/>
    <col min="9481" max="9481" width="18.5703125" customWidth="1"/>
    <col min="9482" max="9482" width="9.140625" customWidth="1"/>
    <col min="9483" max="9483" width="5.5703125" customWidth="1"/>
    <col min="9484" max="9484" width="4.42578125" customWidth="1"/>
    <col min="9485" max="9487" width="4.5703125" customWidth="1"/>
    <col min="9488" max="9488" width="4.85546875" customWidth="1"/>
    <col min="9489" max="9489" width="4.5703125" customWidth="1"/>
    <col min="9490" max="9490" width="9.140625" customWidth="1"/>
    <col min="9491" max="9491" width="7.140625" customWidth="1"/>
    <col min="9492" max="9492" width="5.140625" customWidth="1"/>
    <col min="9493" max="9493" width="6.28515625" customWidth="1"/>
    <col min="9494" max="9494" width="5.5703125" customWidth="1"/>
    <col min="9495" max="9495" width="5.140625" customWidth="1"/>
    <col min="9496" max="9496" width="7.28515625" customWidth="1"/>
    <col min="9497" max="9498" width="5.140625" customWidth="1"/>
    <col min="9499" max="9499" width="4.28515625" customWidth="1"/>
    <col min="9500" max="9501" width="6.28515625" customWidth="1"/>
    <col min="9502" max="9502" width="4.42578125" customWidth="1"/>
    <col min="9503" max="9503" width="9.140625" customWidth="1"/>
    <col min="9505" max="9505" width="6.7109375" customWidth="1"/>
    <col min="9506" max="9506" width="7.85546875" customWidth="1"/>
    <col min="9507" max="9507" width="5.28515625" customWidth="1"/>
    <col min="9510" max="9515" width="5.85546875" customWidth="1"/>
    <col min="9723" max="9723" width="5.140625" customWidth="1"/>
    <col min="9725" max="9726" width="5.140625" customWidth="1"/>
    <col min="9727" max="9727" width="6.85546875" customWidth="1"/>
    <col min="9728" max="9728" width="6" customWidth="1"/>
    <col min="9729" max="9729" width="13.28515625" customWidth="1"/>
    <col min="9730" max="9730" width="4.140625" customWidth="1"/>
    <col min="9731" max="9731" width="4" customWidth="1"/>
    <col min="9732" max="9732" width="4.7109375" customWidth="1"/>
    <col min="9733" max="9733" width="9.140625" customWidth="1"/>
    <col min="9734" max="9734" width="4.7109375" customWidth="1"/>
    <col min="9735" max="9735" width="5" customWidth="1"/>
    <col min="9736" max="9736" width="4.140625" customWidth="1"/>
    <col min="9737" max="9737" width="18.5703125" customWidth="1"/>
    <col min="9738" max="9738" width="9.140625" customWidth="1"/>
    <col min="9739" max="9739" width="5.5703125" customWidth="1"/>
    <col min="9740" max="9740" width="4.42578125" customWidth="1"/>
    <col min="9741" max="9743" width="4.5703125" customWidth="1"/>
    <col min="9744" max="9744" width="4.85546875" customWidth="1"/>
    <col min="9745" max="9745" width="4.5703125" customWidth="1"/>
    <col min="9746" max="9746" width="9.140625" customWidth="1"/>
    <col min="9747" max="9747" width="7.140625" customWidth="1"/>
    <col min="9748" max="9748" width="5.140625" customWidth="1"/>
    <col min="9749" max="9749" width="6.28515625" customWidth="1"/>
    <col min="9750" max="9750" width="5.5703125" customWidth="1"/>
    <col min="9751" max="9751" width="5.140625" customWidth="1"/>
    <col min="9752" max="9752" width="7.28515625" customWidth="1"/>
    <col min="9753" max="9754" width="5.140625" customWidth="1"/>
    <col min="9755" max="9755" width="4.28515625" customWidth="1"/>
    <col min="9756" max="9757" width="6.28515625" customWidth="1"/>
    <col min="9758" max="9758" width="4.42578125" customWidth="1"/>
    <col min="9759" max="9759" width="9.140625" customWidth="1"/>
    <col min="9761" max="9761" width="6.7109375" customWidth="1"/>
    <col min="9762" max="9762" width="7.85546875" customWidth="1"/>
    <col min="9763" max="9763" width="5.28515625" customWidth="1"/>
    <col min="9766" max="9771" width="5.85546875" customWidth="1"/>
    <col min="9979" max="9979" width="5.140625" customWidth="1"/>
    <col min="9981" max="9982" width="5.140625" customWidth="1"/>
    <col min="9983" max="9983" width="6.85546875" customWidth="1"/>
    <col min="9984" max="9984" width="6" customWidth="1"/>
    <col min="9985" max="9985" width="13.28515625" customWidth="1"/>
    <col min="9986" max="9986" width="4.140625" customWidth="1"/>
    <col min="9987" max="9987" width="4" customWidth="1"/>
    <col min="9988" max="9988" width="4.7109375" customWidth="1"/>
    <col min="9989" max="9989" width="9.140625" customWidth="1"/>
    <col min="9990" max="9990" width="4.7109375" customWidth="1"/>
    <col min="9991" max="9991" width="5" customWidth="1"/>
    <col min="9992" max="9992" width="4.140625" customWidth="1"/>
    <col min="9993" max="9993" width="18.5703125" customWidth="1"/>
    <col min="9994" max="9994" width="9.140625" customWidth="1"/>
    <col min="9995" max="9995" width="5.5703125" customWidth="1"/>
    <col min="9996" max="9996" width="4.42578125" customWidth="1"/>
    <col min="9997" max="9999" width="4.5703125" customWidth="1"/>
    <col min="10000" max="10000" width="4.85546875" customWidth="1"/>
    <col min="10001" max="10001" width="4.5703125" customWidth="1"/>
    <col min="10002" max="10002" width="9.140625" customWidth="1"/>
    <col min="10003" max="10003" width="7.140625" customWidth="1"/>
    <col min="10004" max="10004" width="5.140625" customWidth="1"/>
    <col min="10005" max="10005" width="6.28515625" customWidth="1"/>
    <col min="10006" max="10006" width="5.5703125" customWidth="1"/>
    <col min="10007" max="10007" width="5.140625" customWidth="1"/>
    <col min="10008" max="10008" width="7.28515625" customWidth="1"/>
    <col min="10009" max="10010" width="5.140625" customWidth="1"/>
    <col min="10011" max="10011" width="4.28515625" customWidth="1"/>
    <col min="10012" max="10013" width="6.28515625" customWidth="1"/>
    <col min="10014" max="10014" width="4.42578125" customWidth="1"/>
    <col min="10015" max="10015" width="9.140625" customWidth="1"/>
    <col min="10017" max="10017" width="6.7109375" customWidth="1"/>
    <col min="10018" max="10018" width="7.85546875" customWidth="1"/>
    <col min="10019" max="10019" width="5.28515625" customWidth="1"/>
    <col min="10022" max="10027" width="5.85546875" customWidth="1"/>
    <col min="10235" max="10235" width="5.140625" customWidth="1"/>
    <col min="10237" max="10238" width="5.140625" customWidth="1"/>
    <col min="10239" max="10239" width="6.85546875" customWidth="1"/>
    <col min="10240" max="10240" width="6" customWidth="1"/>
    <col min="10241" max="10241" width="13.28515625" customWidth="1"/>
    <col min="10242" max="10242" width="4.140625" customWidth="1"/>
    <col min="10243" max="10243" width="4" customWidth="1"/>
    <col min="10244" max="10244" width="4.7109375" customWidth="1"/>
    <col min="10245" max="10245" width="9.140625" customWidth="1"/>
    <col min="10246" max="10246" width="4.7109375" customWidth="1"/>
    <col min="10247" max="10247" width="5" customWidth="1"/>
    <col min="10248" max="10248" width="4.140625" customWidth="1"/>
    <col min="10249" max="10249" width="18.5703125" customWidth="1"/>
    <col min="10250" max="10250" width="9.140625" customWidth="1"/>
    <col min="10251" max="10251" width="5.5703125" customWidth="1"/>
    <col min="10252" max="10252" width="4.42578125" customWidth="1"/>
    <col min="10253" max="10255" width="4.5703125" customWidth="1"/>
    <col min="10256" max="10256" width="4.85546875" customWidth="1"/>
    <col min="10257" max="10257" width="4.5703125" customWidth="1"/>
    <col min="10258" max="10258" width="9.140625" customWidth="1"/>
    <col min="10259" max="10259" width="7.140625" customWidth="1"/>
    <col min="10260" max="10260" width="5.140625" customWidth="1"/>
    <col min="10261" max="10261" width="6.28515625" customWidth="1"/>
    <col min="10262" max="10262" width="5.5703125" customWidth="1"/>
    <col min="10263" max="10263" width="5.140625" customWidth="1"/>
    <col min="10264" max="10264" width="7.28515625" customWidth="1"/>
    <col min="10265" max="10266" width="5.140625" customWidth="1"/>
    <col min="10267" max="10267" width="4.28515625" customWidth="1"/>
    <col min="10268" max="10269" width="6.28515625" customWidth="1"/>
    <col min="10270" max="10270" width="4.42578125" customWidth="1"/>
    <col min="10271" max="10271" width="9.140625" customWidth="1"/>
    <col min="10273" max="10273" width="6.7109375" customWidth="1"/>
    <col min="10274" max="10274" width="7.85546875" customWidth="1"/>
    <col min="10275" max="10275" width="5.28515625" customWidth="1"/>
    <col min="10278" max="10283" width="5.85546875" customWidth="1"/>
    <col min="10491" max="10491" width="5.140625" customWidth="1"/>
    <col min="10493" max="10494" width="5.140625" customWidth="1"/>
    <col min="10495" max="10495" width="6.85546875" customWidth="1"/>
    <col min="10496" max="10496" width="6" customWidth="1"/>
    <col min="10497" max="10497" width="13.28515625" customWidth="1"/>
    <col min="10498" max="10498" width="4.140625" customWidth="1"/>
    <col min="10499" max="10499" width="4" customWidth="1"/>
    <col min="10500" max="10500" width="4.7109375" customWidth="1"/>
    <col min="10501" max="10501" width="9.140625" customWidth="1"/>
    <col min="10502" max="10502" width="4.7109375" customWidth="1"/>
    <col min="10503" max="10503" width="5" customWidth="1"/>
    <col min="10504" max="10504" width="4.140625" customWidth="1"/>
    <col min="10505" max="10505" width="18.5703125" customWidth="1"/>
    <col min="10506" max="10506" width="9.140625" customWidth="1"/>
    <col min="10507" max="10507" width="5.5703125" customWidth="1"/>
    <col min="10508" max="10508" width="4.42578125" customWidth="1"/>
    <col min="10509" max="10511" width="4.5703125" customWidth="1"/>
    <col min="10512" max="10512" width="4.85546875" customWidth="1"/>
    <col min="10513" max="10513" width="4.5703125" customWidth="1"/>
    <col min="10514" max="10514" width="9.140625" customWidth="1"/>
    <col min="10515" max="10515" width="7.140625" customWidth="1"/>
    <col min="10516" max="10516" width="5.140625" customWidth="1"/>
    <col min="10517" max="10517" width="6.28515625" customWidth="1"/>
    <col min="10518" max="10518" width="5.5703125" customWidth="1"/>
    <col min="10519" max="10519" width="5.140625" customWidth="1"/>
    <col min="10520" max="10520" width="7.28515625" customWidth="1"/>
    <col min="10521" max="10522" width="5.140625" customWidth="1"/>
    <col min="10523" max="10523" width="4.28515625" customWidth="1"/>
    <col min="10524" max="10525" width="6.28515625" customWidth="1"/>
    <col min="10526" max="10526" width="4.42578125" customWidth="1"/>
    <col min="10527" max="10527" width="9.140625" customWidth="1"/>
    <col min="10529" max="10529" width="6.7109375" customWidth="1"/>
    <col min="10530" max="10530" width="7.85546875" customWidth="1"/>
    <col min="10531" max="10531" width="5.28515625" customWidth="1"/>
    <col min="10534" max="10539" width="5.85546875" customWidth="1"/>
    <col min="10747" max="10747" width="5.140625" customWidth="1"/>
    <col min="10749" max="10750" width="5.140625" customWidth="1"/>
    <col min="10751" max="10751" width="6.85546875" customWidth="1"/>
    <col min="10752" max="10752" width="6" customWidth="1"/>
    <col min="10753" max="10753" width="13.28515625" customWidth="1"/>
    <col min="10754" max="10754" width="4.140625" customWidth="1"/>
    <col min="10755" max="10755" width="4" customWidth="1"/>
    <col min="10756" max="10756" width="4.7109375" customWidth="1"/>
    <col min="10757" max="10757" width="9.140625" customWidth="1"/>
    <col min="10758" max="10758" width="4.7109375" customWidth="1"/>
    <col min="10759" max="10759" width="5" customWidth="1"/>
    <col min="10760" max="10760" width="4.140625" customWidth="1"/>
    <col min="10761" max="10761" width="18.5703125" customWidth="1"/>
    <col min="10762" max="10762" width="9.140625" customWidth="1"/>
    <col min="10763" max="10763" width="5.5703125" customWidth="1"/>
    <col min="10764" max="10764" width="4.42578125" customWidth="1"/>
    <col min="10765" max="10767" width="4.5703125" customWidth="1"/>
    <col min="10768" max="10768" width="4.85546875" customWidth="1"/>
    <col min="10769" max="10769" width="4.5703125" customWidth="1"/>
    <col min="10770" max="10770" width="9.140625" customWidth="1"/>
    <col min="10771" max="10771" width="7.140625" customWidth="1"/>
    <col min="10772" max="10772" width="5.140625" customWidth="1"/>
    <col min="10773" max="10773" width="6.28515625" customWidth="1"/>
    <col min="10774" max="10774" width="5.5703125" customWidth="1"/>
    <col min="10775" max="10775" width="5.140625" customWidth="1"/>
    <col min="10776" max="10776" width="7.28515625" customWidth="1"/>
    <col min="10777" max="10778" width="5.140625" customWidth="1"/>
    <col min="10779" max="10779" width="4.28515625" customWidth="1"/>
    <col min="10780" max="10781" width="6.28515625" customWidth="1"/>
    <col min="10782" max="10782" width="4.42578125" customWidth="1"/>
    <col min="10783" max="10783" width="9.140625" customWidth="1"/>
    <col min="10785" max="10785" width="6.7109375" customWidth="1"/>
    <col min="10786" max="10786" width="7.85546875" customWidth="1"/>
    <col min="10787" max="10787" width="5.28515625" customWidth="1"/>
    <col min="10790" max="10795" width="5.85546875" customWidth="1"/>
    <col min="11003" max="11003" width="5.140625" customWidth="1"/>
    <col min="11005" max="11006" width="5.140625" customWidth="1"/>
    <col min="11007" max="11007" width="6.85546875" customWidth="1"/>
    <col min="11008" max="11008" width="6" customWidth="1"/>
    <col min="11009" max="11009" width="13.28515625" customWidth="1"/>
    <col min="11010" max="11010" width="4.140625" customWidth="1"/>
    <col min="11011" max="11011" width="4" customWidth="1"/>
    <col min="11012" max="11012" width="4.7109375" customWidth="1"/>
    <col min="11013" max="11013" width="9.140625" customWidth="1"/>
    <col min="11014" max="11014" width="4.7109375" customWidth="1"/>
    <col min="11015" max="11015" width="5" customWidth="1"/>
    <col min="11016" max="11016" width="4.140625" customWidth="1"/>
    <col min="11017" max="11017" width="18.5703125" customWidth="1"/>
    <col min="11018" max="11018" width="9.140625" customWidth="1"/>
    <col min="11019" max="11019" width="5.5703125" customWidth="1"/>
    <col min="11020" max="11020" width="4.42578125" customWidth="1"/>
    <col min="11021" max="11023" width="4.5703125" customWidth="1"/>
    <col min="11024" max="11024" width="4.85546875" customWidth="1"/>
    <col min="11025" max="11025" width="4.5703125" customWidth="1"/>
    <col min="11026" max="11026" width="9.140625" customWidth="1"/>
    <col min="11027" max="11027" width="7.140625" customWidth="1"/>
    <col min="11028" max="11028" width="5.140625" customWidth="1"/>
    <col min="11029" max="11029" width="6.28515625" customWidth="1"/>
    <col min="11030" max="11030" width="5.5703125" customWidth="1"/>
    <col min="11031" max="11031" width="5.140625" customWidth="1"/>
    <col min="11032" max="11032" width="7.28515625" customWidth="1"/>
    <col min="11033" max="11034" width="5.140625" customWidth="1"/>
    <col min="11035" max="11035" width="4.28515625" customWidth="1"/>
    <col min="11036" max="11037" width="6.28515625" customWidth="1"/>
    <col min="11038" max="11038" width="4.42578125" customWidth="1"/>
    <col min="11039" max="11039" width="9.140625" customWidth="1"/>
    <col min="11041" max="11041" width="6.7109375" customWidth="1"/>
    <col min="11042" max="11042" width="7.85546875" customWidth="1"/>
    <col min="11043" max="11043" width="5.28515625" customWidth="1"/>
    <col min="11046" max="11051" width="5.85546875" customWidth="1"/>
    <col min="11259" max="11259" width="5.140625" customWidth="1"/>
    <col min="11261" max="11262" width="5.140625" customWidth="1"/>
    <col min="11263" max="11263" width="6.85546875" customWidth="1"/>
    <col min="11264" max="11264" width="6" customWidth="1"/>
    <col min="11265" max="11265" width="13.28515625" customWidth="1"/>
    <col min="11266" max="11266" width="4.140625" customWidth="1"/>
    <col min="11267" max="11267" width="4" customWidth="1"/>
    <col min="11268" max="11268" width="4.7109375" customWidth="1"/>
    <col min="11269" max="11269" width="9.140625" customWidth="1"/>
    <col min="11270" max="11270" width="4.7109375" customWidth="1"/>
    <col min="11271" max="11271" width="5" customWidth="1"/>
    <col min="11272" max="11272" width="4.140625" customWidth="1"/>
    <col min="11273" max="11273" width="18.5703125" customWidth="1"/>
    <col min="11274" max="11274" width="9.140625" customWidth="1"/>
    <col min="11275" max="11275" width="5.5703125" customWidth="1"/>
    <col min="11276" max="11276" width="4.42578125" customWidth="1"/>
    <col min="11277" max="11279" width="4.5703125" customWidth="1"/>
    <col min="11280" max="11280" width="4.85546875" customWidth="1"/>
    <col min="11281" max="11281" width="4.5703125" customWidth="1"/>
    <col min="11282" max="11282" width="9.140625" customWidth="1"/>
    <col min="11283" max="11283" width="7.140625" customWidth="1"/>
    <col min="11284" max="11284" width="5.140625" customWidth="1"/>
    <col min="11285" max="11285" width="6.28515625" customWidth="1"/>
    <col min="11286" max="11286" width="5.5703125" customWidth="1"/>
    <col min="11287" max="11287" width="5.140625" customWidth="1"/>
    <col min="11288" max="11288" width="7.28515625" customWidth="1"/>
    <col min="11289" max="11290" width="5.140625" customWidth="1"/>
    <col min="11291" max="11291" width="4.28515625" customWidth="1"/>
    <col min="11292" max="11293" width="6.28515625" customWidth="1"/>
    <col min="11294" max="11294" width="4.42578125" customWidth="1"/>
    <col min="11295" max="11295" width="9.140625" customWidth="1"/>
    <col min="11297" max="11297" width="6.7109375" customWidth="1"/>
    <col min="11298" max="11298" width="7.85546875" customWidth="1"/>
    <col min="11299" max="11299" width="5.28515625" customWidth="1"/>
    <col min="11302" max="11307" width="5.85546875" customWidth="1"/>
    <col min="11515" max="11515" width="5.140625" customWidth="1"/>
    <col min="11517" max="11518" width="5.140625" customWidth="1"/>
    <col min="11519" max="11519" width="6.85546875" customWidth="1"/>
    <col min="11520" max="11520" width="6" customWidth="1"/>
    <col min="11521" max="11521" width="13.28515625" customWidth="1"/>
    <col min="11522" max="11522" width="4.140625" customWidth="1"/>
    <col min="11523" max="11523" width="4" customWidth="1"/>
    <col min="11524" max="11524" width="4.7109375" customWidth="1"/>
    <col min="11525" max="11525" width="9.140625" customWidth="1"/>
    <col min="11526" max="11526" width="4.7109375" customWidth="1"/>
    <col min="11527" max="11527" width="5" customWidth="1"/>
    <col min="11528" max="11528" width="4.140625" customWidth="1"/>
    <col min="11529" max="11529" width="18.5703125" customWidth="1"/>
    <col min="11530" max="11530" width="9.140625" customWidth="1"/>
    <col min="11531" max="11531" width="5.5703125" customWidth="1"/>
    <col min="11532" max="11532" width="4.42578125" customWidth="1"/>
    <col min="11533" max="11535" width="4.5703125" customWidth="1"/>
    <col min="11536" max="11536" width="4.85546875" customWidth="1"/>
    <col min="11537" max="11537" width="4.5703125" customWidth="1"/>
    <col min="11538" max="11538" width="9.140625" customWidth="1"/>
    <col min="11539" max="11539" width="7.140625" customWidth="1"/>
    <col min="11540" max="11540" width="5.140625" customWidth="1"/>
    <col min="11541" max="11541" width="6.28515625" customWidth="1"/>
    <col min="11542" max="11542" width="5.5703125" customWidth="1"/>
    <col min="11543" max="11543" width="5.140625" customWidth="1"/>
    <col min="11544" max="11544" width="7.28515625" customWidth="1"/>
    <col min="11545" max="11546" width="5.140625" customWidth="1"/>
    <col min="11547" max="11547" width="4.28515625" customWidth="1"/>
    <col min="11548" max="11549" width="6.28515625" customWidth="1"/>
    <col min="11550" max="11550" width="4.42578125" customWidth="1"/>
    <col min="11551" max="11551" width="9.140625" customWidth="1"/>
    <col min="11553" max="11553" width="6.7109375" customWidth="1"/>
    <col min="11554" max="11554" width="7.85546875" customWidth="1"/>
    <col min="11555" max="11555" width="5.28515625" customWidth="1"/>
    <col min="11558" max="11563" width="5.85546875" customWidth="1"/>
    <col min="11771" max="11771" width="5.140625" customWidth="1"/>
    <col min="11773" max="11774" width="5.140625" customWidth="1"/>
    <col min="11775" max="11775" width="6.85546875" customWidth="1"/>
    <col min="11776" max="11776" width="6" customWidth="1"/>
    <col min="11777" max="11777" width="13.28515625" customWidth="1"/>
    <col min="11778" max="11778" width="4.140625" customWidth="1"/>
    <col min="11779" max="11779" width="4" customWidth="1"/>
    <col min="11780" max="11780" width="4.7109375" customWidth="1"/>
    <col min="11781" max="11781" width="9.140625" customWidth="1"/>
    <col min="11782" max="11782" width="4.7109375" customWidth="1"/>
    <col min="11783" max="11783" width="5" customWidth="1"/>
    <col min="11784" max="11784" width="4.140625" customWidth="1"/>
    <col min="11785" max="11785" width="18.5703125" customWidth="1"/>
    <col min="11786" max="11786" width="9.140625" customWidth="1"/>
    <col min="11787" max="11787" width="5.5703125" customWidth="1"/>
    <col min="11788" max="11788" width="4.42578125" customWidth="1"/>
    <col min="11789" max="11791" width="4.5703125" customWidth="1"/>
    <col min="11792" max="11792" width="4.85546875" customWidth="1"/>
    <col min="11793" max="11793" width="4.5703125" customWidth="1"/>
    <col min="11794" max="11794" width="9.140625" customWidth="1"/>
    <col min="11795" max="11795" width="7.140625" customWidth="1"/>
    <col min="11796" max="11796" width="5.140625" customWidth="1"/>
    <col min="11797" max="11797" width="6.28515625" customWidth="1"/>
    <col min="11798" max="11798" width="5.5703125" customWidth="1"/>
    <col min="11799" max="11799" width="5.140625" customWidth="1"/>
    <col min="11800" max="11800" width="7.28515625" customWidth="1"/>
    <col min="11801" max="11802" width="5.140625" customWidth="1"/>
    <col min="11803" max="11803" width="4.28515625" customWidth="1"/>
    <col min="11804" max="11805" width="6.28515625" customWidth="1"/>
    <col min="11806" max="11806" width="4.42578125" customWidth="1"/>
    <col min="11807" max="11807" width="9.140625" customWidth="1"/>
    <col min="11809" max="11809" width="6.7109375" customWidth="1"/>
    <col min="11810" max="11810" width="7.85546875" customWidth="1"/>
    <col min="11811" max="11811" width="5.28515625" customWidth="1"/>
    <col min="11814" max="11819" width="5.85546875" customWidth="1"/>
    <col min="12027" max="12027" width="5.140625" customWidth="1"/>
    <col min="12029" max="12030" width="5.140625" customWidth="1"/>
    <col min="12031" max="12031" width="6.85546875" customWidth="1"/>
    <col min="12032" max="12032" width="6" customWidth="1"/>
    <col min="12033" max="12033" width="13.28515625" customWidth="1"/>
    <col min="12034" max="12034" width="4.140625" customWidth="1"/>
    <col min="12035" max="12035" width="4" customWidth="1"/>
    <col min="12036" max="12036" width="4.7109375" customWidth="1"/>
    <col min="12037" max="12037" width="9.140625" customWidth="1"/>
    <col min="12038" max="12038" width="4.7109375" customWidth="1"/>
    <col min="12039" max="12039" width="5" customWidth="1"/>
    <col min="12040" max="12040" width="4.140625" customWidth="1"/>
    <col min="12041" max="12041" width="18.5703125" customWidth="1"/>
    <col min="12042" max="12042" width="9.140625" customWidth="1"/>
    <col min="12043" max="12043" width="5.5703125" customWidth="1"/>
    <col min="12044" max="12044" width="4.42578125" customWidth="1"/>
    <col min="12045" max="12047" width="4.5703125" customWidth="1"/>
    <col min="12048" max="12048" width="4.85546875" customWidth="1"/>
    <col min="12049" max="12049" width="4.5703125" customWidth="1"/>
    <col min="12050" max="12050" width="9.140625" customWidth="1"/>
    <col min="12051" max="12051" width="7.140625" customWidth="1"/>
    <col min="12052" max="12052" width="5.140625" customWidth="1"/>
    <col min="12053" max="12053" width="6.28515625" customWidth="1"/>
    <col min="12054" max="12054" width="5.5703125" customWidth="1"/>
    <col min="12055" max="12055" width="5.140625" customWidth="1"/>
    <col min="12056" max="12056" width="7.28515625" customWidth="1"/>
    <col min="12057" max="12058" width="5.140625" customWidth="1"/>
    <col min="12059" max="12059" width="4.28515625" customWidth="1"/>
    <col min="12060" max="12061" width="6.28515625" customWidth="1"/>
    <col min="12062" max="12062" width="4.42578125" customWidth="1"/>
    <col min="12063" max="12063" width="9.140625" customWidth="1"/>
    <col min="12065" max="12065" width="6.7109375" customWidth="1"/>
    <col min="12066" max="12066" width="7.85546875" customWidth="1"/>
    <col min="12067" max="12067" width="5.28515625" customWidth="1"/>
    <col min="12070" max="12075" width="5.85546875" customWidth="1"/>
    <col min="12283" max="12283" width="5.140625" customWidth="1"/>
    <col min="12285" max="12286" width="5.140625" customWidth="1"/>
    <col min="12287" max="12287" width="6.85546875" customWidth="1"/>
    <col min="12288" max="12288" width="6" customWidth="1"/>
    <col min="12289" max="12289" width="13.28515625" customWidth="1"/>
    <col min="12290" max="12290" width="4.140625" customWidth="1"/>
    <col min="12291" max="12291" width="4" customWidth="1"/>
    <col min="12292" max="12292" width="4.7109375" customWidth="1"/>
    <col min="12293" max="12293" width="9.140625" customWidth="1"/>
    <col min="12294" max="12294" width="4.7109375" customWidth="1"/>
    <col min="12295" max="12295" width="5" customWidth="1"/>
    <col min="12296" max="12296" width="4.140625" customWidth="1"/>
    <col min="12297" max="12297" width="18.5703125" customWidth="1"/>
    <col min="12298" max="12298" width="9.140625" customWidth="1"/>
    <col min="12299" max="12299" width="5.5703125" customWidth="1"/>
    <col min="12300" max="12300" width="4.42578125" customWidth="1"/>
    <col min="12301" max="12303" width="4.5703125" customWidth="1"/>
    <col min="12304" max="12304" width="4.85546875" customWidth="1"/>
    <col min="12305" max="12305" width="4.5703125" customWidth="1"/>
    <col min="12306" max="12306" width="9.140625" customWidth="1"/>
    <col min="12307" max="12307" width="7.140625" customWidth="1"/>
    <col min="12308" max="12308" width="5.140625" customWidth="1"/>
    <col min="12309" max="12309" width="6.28515625" customWidth="1"/>
    <col min="12310" max="12310" width="5.5703125" customWidth="1"/>
    <col min="12311" max="12311" width="5.140625" customWidth="1"/>
    <col min="12312" max="12312" width="7.28515625" customWidth="1"/>
    <col min="12313" max="12314" width="5.140625" customWidth="1"/>
    <col min="12315" max="12315" width="4.28515625" customWidth="1"/>
    <col min="12316" max="12317" width="6.28515625" customWidth="1"/>
    <col min="12318" max="12318" width="4.42578125" customWidth="1"/>
    <col min="12319" max="12319" width="9.140625" customWidth="1"/>
    <col min="12321" max="12321" width="6.7109375" customWidth="1"/>
    <col min="12322" max="12322" width="7.85546875" customWidth="1"/>
    <col min="12323" max="12323" width="5.28515625" customWidth="1"/>
    <col min="12326" max="12331" width="5.85546875" customWidth="1"/>
    <col min="12539" max="12539" width="5.140625" customWidth="1"/>
    <col min="12541" max="12542" width="5.140625" customWidth="1"/>
    <col min="12543" max="12543" width="6.85546875" customWidth="1"/>
    <col min="12544" max="12544" width="6" customWidth="1"/>
    <col min="12545" max="12545" width="13.28515625" customWidth="1"/>
    <col min="12546" max="12546" width="4.140625" customWidth="1"/>
    <col min="12547" max="12547" width="4" customWidth="1"/>
    <col min="12548" max="12548" width="4.7109375" customWidth="1"/>
    <col min="12549" max="12549" width="9.140625" customWidth="1"/>
    <col min="12550" max="12550" width="4.7109375" customWidth="1"/>
    <col min="12551" max="12551" width="5" customWidth="1"/>
    <col min="12552" max="12552" width="4.140625" customWidth="1"/>
    <col min="12553" max="12553" width="18.5703125" customWidth="1"/>
    <col min="12554" max="12554" width="9.140625" customWidth="1"/>
    <col min="12555" max="12555" width="5.5703125" customWidth="1"/>
    <col min="12556" max="12556" width="4.42578125" customWidth="1"/>
    <col min="12557" max="12559" width="4.5703125" customWidth="1"/>
    <col min="12560" max="12560" width="4.85546875" customWidth="1"/>
    <col min="12561" max="12561" width="4.5703125" customWidth="1"/>
    <col min="12562" max="12562" width="9.140625" customWidth="1"/>
    <col min="12563" max="12563" width="7.140625" customWidth="1"/>
    <col min="12564" max="12564" width="5.140625" customWidth="1"/>
    <col min="12565" max="12565" width="6.28515625" customWidth="1"/>
    <col min="12566" max="12566" width="5.5703125" customWidth="1"/>
    <col min="12567" max="12567" width="5.140625" customWidth="1"/>
    <col min="12568" max="12568" width="7.28515625" customWidth="1"/>
    <col min="12569" max="12570" width="5.140625" customWidth="1"/>
    <col min="12571" max="12571" width="4.28515625" customWidth="1"/>
    <col min="12572" max="12573" width="6.28515625" customWidth="1"/>
    <col min="12574" max="12574" width="4.42578125" customWidth="1"/>
    <col min="12575" max="12575" width="9.140625" customWidth="1"/>
    <col min="12577" max="12577" width="6.7109375" customWidth="1"/>
    <col min="12578" max="12578" width="7.85546875" customWidth="1"/>
    <col min="12579" max="12579" width="5.28515625" customWidth="1"/>
    <col min="12582" max="12587" width="5.85546875" customWidth="1"/>
    <col min="12795" max="12795" width="5.140625" customWidth="1"/>
    <col min="12797" max="12798" width="5.140625" customWidth="1"/>
    <col min="12799" max="12799" width="6.85546875" customWidth="1"/>
    <col min="12800" max="12800" width="6" customWidth="1"/>
    <col min="12801" max="12801" width="13.28515625" customWidth="1"/>
    <col min="12802" max="12802" width="4.140625" customWidth="1"/>
    <col min="12803" max="12803" width="4" customWidth="1"/>
    <col min="12804" max="12804" width="4.7109375" customWidth="1"/>
    <col min="12805" max="12805" width="9.140625" customWidth="1"/>
    <col min="12806" max="12806" width="4.7109375" customWidth="1"/>
    <col min="12807" max="12807" width="5" customWidth="1"/>
    <col min="12808" max="12808" width="4.140625" customWidth="1"/>
    <col min="12809" max="12809" width="18.5703125" customWidth="1"/>
    <col min="12810" max="12810" width="9.140625" customWidth="1"/>
    <col min="12811" max="12811" width="5.5703125" customWidth="1"/>
    <col min="12812" max="12812" width="4.42578125" customWidth="1"/>
    <col min="12813" max="12815" width="4.5703125" customWidth="1"/>
    <col min="12816" max="12816" width="4.85546875" customWidth="1"/>
    <col min="12817" max="12817" width="4.5703125" customWidth="1"/>
    <col min="12818" max="12818" width="9.140625" customWidth="1"/>
    <col min="12819" max="12819" width="7.140625" customWidth="1"/>
    <col min="12820" max="12820" width="5.140625" customWidth="1"/>
    <col min="12821" max="12821" width="6.28515625" customWidth="1"/>
    <col min="12822" max="12822" width="5.5703125" customWidth="1"/>
    <col min="12823" max="12823" width="5.140625" customWidth="1"/>
    <col min="12824" max="12824" width="7.28515625" customWidth="1"/>
    <col min="12825" max="12826" width="5.140625" customWidth="1"/>
    <col min="12827" max="12827" width="4.28515625" customWidth="1"/>
    <col min="12828" max="12829" width="6.28515625" customWidth="1"/>
    <col min="12830" max="12830" width="4.42578125" customWidth="1"/>
    <col min="12831" max="12831" width="9.140625" customWidth="1"/>
    <col min="12833" max="12833" width="6.7109375" customWidth="1"/>
    <col min="12834" max="12834" width="7.85546875" customWidth="1"/>
    <col min="12835" max="12835" width="5.28515625" customWidth="1"/>
    <col min="12838" max="12843" width="5.85546875" customWidth="1"/>
    <col min="13051" max="13051" width="5.140625" customWidth="1"/>
    <col min="13053" max="13054" width="5.140625" customWidth="1"/>
    <col min="13055" max="13055" width="6.85546875" customWidth="1"/>
    <col min="13056" max="13056" width="6" customWidth="1"/>
    <col min="13057" max="13057" width="13.28515625" customWidth="1"/>
    <col min="13058" max="13058" width="4.140625" customWidth="1"/>
    <col min="13059" max="13059" width="4" customWidth="1"/>
    <col min="13060" max="13060" width="4.7109375" customWidth="1"/>
    <col min="13061" max="13061" width="9.140625" customWidth="1"/>
    <col min="13062" max="13062" width="4.7109375" customWidth="1"/>
    <col min="13063" max="13063" width="5" customWidth="1"/>
    <col min="13064" max="13064" width="4.140625" customWidth="1"/>
    <col min="13065" max="13065" width="18.5703125" customWidth="1"/>
    <col min="13066" max="13066" width="9.140625" customWidth="1"/>
    <col min="13067" max="13067" width="5.5703125" customWidth="1"/>
    <col min="13068" max="13068" width="4.42578125" customWidth="1"/>
    <col min="13069" max="13071" width="4.5703125" customWidth="1"/>
    <col min="13072" max="13072" width="4.85546875" customWidth="1"/>
    <col min="13073" max="13073" width="4.5703125" customWidth="1"/>
    <col min="13074" max="13074" width="9.140625" customWidth="1"/>
    <col min="13075" max="13075" width="7.140625" customWidth="1"/>
    <col min="13076" max="13076" width="5.140625" customWidth="1"/>
    <col min="13077" max="13077" width="6.28515625" customWidth="1"/>
    <col min="13078" max="13078" width="5.5703125" customWidth="1"/>
    <col min="13079" max="13079" width="5.140625" customWidth="1"/>
    <col min="13080" max="13080" width="7.28515625" customWidth="1"/>
    <col min="13081" max="13082" width="5.140625" customWidth="1"/>
    <col min="13083" max="13083" width="4.28515625" customWidth="1"/>
    <col min="13084" max="13085" width="6.28515625" customWidth="1"/>
    <col min="13086" max="13086" width="4.42578125" customWidth="1"/>
    <col min="13087" max="13087" width="9.140625" customWidth="1"/>
    <col min="13089" max="13089" width="6.7109375" customWidth="1"/>
    <col min="13090" max="13090" width="7.85546875" customWidth="1"/>
    <col min="13091" max="13091" width="5.28515625" customWidth="1"/>
    <col min="13094" max="13099" width="5.85546875" customWidth="1"/>
    <col min="13307" max="13307" width="5.140625" customWidth="1"/>
    <col min="13309" max="13310" width="5.140625" customWidth="1"/>
    <col min="13311" max="13311" width="6.85546875" customWidth="1"/>
    <col min="13312" max="13312" width="6" customWidth="1"/>
    <col min="13313" max="13313" width="13.28515625" customWidth="1"/>
    <col min="13314" max="13314" width="4.140625" customWidth="1"/>
    <col min="13315" max="13315" width="4" customWidth="1"/>
    <col min="13316" max="13316" width="4.7109375" customWidth="1"/>
    <col min="13317" max="13317" width="9.140625" customWidth="1"/>
    <col min="13318" max="13318" width="4.7109375" customWidth="1"/>
    <col min="13319" max="13319" width="5" customWidth="1"/>
    <col min="13320" max="13320" width="4.140625" customWidth="1"/>
    <col min="13321" max="13321" width="18.5703125" customWidth="1"/>
    <col min="13322" max="13322" width="9.140625" customWidth="1"/>
    <col min="13323" max="13323" width="5.5703125" customWidth="1"/>
    <col min="13324" max="13324" width="4.42578125" customWidth="1"/>
    <col min="13325" max="13327" width="4.5703125" customWidth="1"/>
    <col min="13328" max="13328" width="4.85546875" customWidth="1"/>
    <col min="13329" max="13329" width="4.5703125" customWidth="1"/>
    <col min="13330" max="13330" width="9.140625" customWidth="1"/>
    <col min="13331" max="13331" width="7.140625" customWidth="1"/>
    <col min="13332" max="13332" width="5.140625" customWidth="1"/>
    <col min="13333" max="13333" width="6.28515625" customWidth="1"/>
    <col min="13334" max="13334" width="5.5703125" customWidth="1"/>
    <col min="13335" max="13335" width="5.140625" customWidth="1"/>
    <col min="13336" max="13336" width="7.28515625" customWidth="1"/>
    <col min="13337" max="13338" width="5.140625" customWidth="1"/>
    <col min="13339" max="13339" width="4.28515625" customWidth="1"/>
    <col min="13340" max="13341" width="6.28515625" customWidth="1"/>
    <col min="13342" max="13342" width="4.42578125" customWidth="1"/>
    <col min="13343" max="13343" width="9.140625" customWidth="1"/>
    <col min="13345" max="13345" width="6.7109375" customWidth="1"/>
    <col min="13346" max="13346" width="7.85546875" customWidth="1"/>
    <col min="13347" max="13347" width="5.28515625" customWidth="1"/>
    <col min="13350" max="13355" width="5.85546875" customWidth="1"/>
    <col min="13563" max="13563" width="5.140625" customWidth="1"/>
    <col min="13565" max="13566" width="5.140625" customWidth="1"/>
    <col min="13567" max="13567" width="6.85546875" customWidth="1"/>
    <col min="13568" max="13568" width="6" customWidth="1"/>
    <col min="13569" max="13569" width="13.28515625" customWidth="1"/>
    <col min="13570" max="13570" width="4.140625" customWidth="1"/>
    <col min="13571" max="13571" width="4" customWidth="1"/>
    <col min="13572" max="13572" width="4.7109375" customWidth="1"/>
    <col min="13573" max="13573" width="9.140625" customWidth="1"/>
    <col min="13574" max="13574" width="4.7109375" customWidth="1"/>
    <col min="13575" max="13575" width="5" customWidth="1"/>
    <col min="13576" max="13576" width="4.140625" customWidth="1"/>
    <col min="13577" max="13577" width="18.5703125" customWidth="1"/>
    <col min="13578" max="13578" width="9.140625" customWidth="1"/>
    <col min="13579" max="13579" width="5.5703125" customWidth="1"/>
    <col min="13580" max="13580" width="4.42578125" customWidth="1"/>
    <col min="13581" max="13583" width="4.5703125" customWidth="1"/>
    <col min="13584" max="13584" width="4.85546875" customWidth="1"/>
    <col min="13585" max="13585" width="4.5703125" customWidth="1"/>
    <col min="13586" max="13586" width="9.140625" customWidth="1"/>
    <col min="13587" max="13587" width="7.140625" customWidth="1"/>
    <col min="13588" max="13588" width="5.140625" customWidth="1"/>
    <col min="13589" max="13589" width="6.28515625" customWidth="1"/>
    <col min="13590" max="13590" width="5.5703125" customWidth="1"/>
    <col min="13591" max="13591" width="5.140625" customWidth="1"/>
    <col min="13592" max="13592" width="7.28515625" customWidth="1"/>
    <col min="13593" max="13594" width="5.140625" customWidth="1"/>
    <col min="13595" max="13595" width="4.28515625" customWidth="1"/>
    <col min="13596" max="13597" width="6.28515625" customWidth="1"/>
    <col min="13598" max="13598" width="4.42578125" customWidth="1"/>
    <col min="13599" max="13599" width="9.140625" customWidth="1"/>
    <col min="13601" max="13601" width="6.7109375" customWidth="1"/>
    <col min="13602" max="13602" width="7.85546875" customWidth="1"/>
    <col min="13603" max="13603" width="5.28515625" customWidth="1"/>
    <col min="13606" max="13611" width="5.85546875" customWidth="1"/>
    <col min="13819" max="13819" width="5.140625" customWidth="1"/>
    <col min="13821" max="13822" width="5.140625" customWidth="1"/>
    <col min="13823" max="13823" width="6.85546875" customWidth="1"/>
    <col min="13824" max="13824" width="6" customWidth="1"/>
    <col min="13825" max="13825" width="13.28515625" customWidth="1"/>
    <col min="13826" max="13826" width="4.140625" customWidth="1"/>
    <col min="13827" max="13827" width="4" customWidth="1"/>
    <col min="13828" max="13828" width="4.7109375" customWidth="1"/>
    <col min="13829" max="13829" width="9.140625" customWidth="1"/>
    <col min="13830" max="13830" width="4.7109375" customWidth="1"/>
    <col min="13831" max="13831" width="5" customWidth="1"/>
    <col min="13832" max="13832" width="4.140625" customWidth="1"/>
    <col min="13833" max="13833" width="18.5703125" customWidth="1"/>
    <col min="13834" max="13834" width="9.140625" customWidth="1"/>
    <col min="13835" max="13835" width="5.5703125" customWidth="1"/>
    <col min="13836" max="13836" width="4.42578125" customWidth="1"/>
    <col min="13837" max="13839" width="4.5703125" customWidth="1"/>
    <col min="13840" max="13840" width="4.85546875" customWidth="1"/>
    <col min="13841" max="13841" width="4.5703125" customWidth="1"/>
    <col min="13842" max="13842" width="9.140625" customWidth="1"/>
    <col min="13843" max="13843" width="7.140625" customWidth="1"/>
    <col min="13844" max="13844" width="5.140625" customWidth="1"/>
    <col min="13845" max="13845" width="6.28515625" customWidth="1"/>
    <col min="13846" max="13846" width="5.5703125" customWidth="1"/>
    <col min="13847" max="13847" width="5.140625" customWidth="1"/>
    <col min="13848" max="13848" width="7.28515625" customWidth="1"/>
    <col min="13849" max="13850" width="5.140625" customWidth="1"/>
    <col min="13851" max="13851" width="4.28515625" customWidth="1"/>
    <col min="13852" max="13853" width="6.28515625" customWidth="1"/>
    <col min="13854" max="13854" width="4.42578125" customWidth="1"/>
    <col min="13855" max="13855" width="9.140625" customWidth="1"/>
    <col min="13857" max="13857" width="6.7109375" customWidth="1"/>
    <col min="13858" max="13858" width="7.85546875" customWidth="1"/>
    <col min="13859" max="13859" width="5.28515625" customWidth="1"/>
    <col min="13862" max="13867" width="5.85546875" customWidth="1"/>
    <col min="14075" max="14075" width="5.140625" customWidth="1"/>
    <col min="14077" max="14078" width="5.140625" customWidth="1"/>
    <col min="14079" max="14079" width="6.85546875" customWidth="1"/>
    <col min="14080" max="14080" width="6" customWidth="1"/>
    <col min="14081" max="14081" width="13.28515625" customWidth="1"/>
    <col min="14082" max="14082" width="4.140625" customWidth="1"/>
    <col min="14083" max="14083" width="4" customWidth="1"/>
    <col min="14084" max="14084" width="4.7109375" customWidth="1"/>
    <col min="14085" max="14085" width="9.140625" customWidth="1"/>
    <col min="14086" max="14086" width="4.7109375" customWidth="1"/>
    <col min="14087" max="14087" width="5" customWidth="1"/>
    <col min="14088" max="14088" width="4.140625" customWidth="1"/>
    <col min="14089" max="14089" width="18.5703125" customWidth="1"/>
    <col min="14090" max="14090" width="9.140625" customWidth="1"/>
    <col min="14091" max="14091" width="5.5703125" customWidth="1"/>
    <col min="14092" max="14092" width="4.42578125" customWidth="1"/>
    <col min="14093" max="14095" width="4.5703125" customWidth="1"/>
    <col min="14096" max="14096" width="4.85546875" customWidth="1"/>
    <col min="14097" max="14097" width="4.5703125" customWidth="1"/>
    <col min="14098" max="14098" width="9.140625" customWidth="1"/>
    <col min="14099" max="14099" width="7.140625" customWidth="1"/>
    <col min="14100" max="14100" width="5.140625" customWidth="1"/>
    <col min="14101" max="14101" width="6.28515625" customWidth="1"/>
    <col min="14102" max="14102" width="5.5703125" customWidth="1"/>
    <col min="14103" max="14103" width="5.140625" customWidth="1"/>
    <col min="14104" max="14104" width="7.28515625" customWidth="1"/>
    <col min="14105" max="14106" width="5.140625" customWidth="1"/>
    <col min="14107" max="14107" width="4.28515625" customWidth="1"/>
    <col min="14108" max="14109" width="6.28515625" customWidth="1"/>
    <col min="14110" max="14110" width="4.42578125" customWidth="1"/>
    <col min="14111" max="14111" width="9.140625" customWidth="1"/>
    <col min="14113" max="14113" width="6.7109375" customWidth="1"/>
    <col min="14114" max="14114" width="7.85546875" customWidth="1"/>
    <col min="14115" max="14115" width="5.28515625" customWidth="1"/>
    <col min="14118" max="14123" width="5.85546875" customWidth="1"/>
    <col min="14331" max="14331" width="5.140625" customWidth="1"/>
    <col min="14333" max="14334" width="5.140625" customWidth="1"/>
    <col min="14335" max="14335" width="6.85546875" customWidth="1"/>
    <col min="14336" max="14336" width="6" customWidth="1"/>
    <col min="14337" max="14337" width="13.28515625" customWidth="1"/>
    <col min="14338" max="14338" width="4.140625" customWidth="1"/>
    <col min="14339" max="14339" width="4" customWidth="1"/>
    <col min="14340" max="14340" width="4.7109375" customWidth="1"/>
    <col min="14341" max="14341" width="9.140625" customWidth="1"/>
    <col min="14342" max="14342" width="4.7109375" customWidth="1"/>
    <col min="14343" max="14343" width="5" customWidth="1"/>
    <col min="14344" max="14344" width="4.140625" customWidth="1"/>
    <col min="14345" max="14345" width="18.5703125" customWidth="1"/>
    <col min="14346" max="14346" width="9.140625" customWidth="1"/>
    <col min="14347" max="14347" width="5.5703125" customWidth="1"/>
    <col min="14348" max="14348" width="4.42578125" customWidth="1"/>
    <col min="14349" max="14351" width="4.5703125" customWidth="1"/>
    <col min="14352" max="14352" width="4.85546875" customWidth="1"/>
    <col min="14353" max="14353" width="4.5703125" customWidth="1"/>
    <col min="14354" max="14354" width="9.140625" customWidth="1"/>
    <col min="14355" max="14355" width="7.140625" customWidth="1"/>
    <col min="14356" max="14356" width="5.140625" customWidth="1"/>
    <col min="14357" max="14357" width="6.28515625" customWidth="1"/>
    <col min="14358" max="14358" width="5.5703125" customWidth="1"/>
    <col min="14359" max="14359" width="5.140625" customWidth="1"/>
    <col min="14360" max="14360" width="7.28515625" customWidth="1"/>
    <col min="14361" max="14362" width="5.140625" customWidth="1"/>
    <col min="14363" max="14363" width="4.28515625" customWidth="1"/>
    <col min="14364" max="14365" width="6.28515625" customWidth="1"/>
    <col min="14366" max="14366" width="4.42578125" customWidth="1"/>
    <col min="14367" max="14367" width="9.140625" customWidth="1"/>
    <col min="14369" max="14369" width="6.7109375" customWidth="1"/>
    <col min="14370" max="14370" width="7.85546875" customWidth="1"/>
    <col min="14371" max="14371" width="5.28515625" customWidth="1"/>
    <col min="14374" max="14379" width="5.85546875" customWidth="1"/>
    <col min="14587" max="14587" width="5.140625" customWidth="1"/>
    <col min="14589" max="14590" width="5.140625" customWidth="1"/>
    <col min="14591" max="14591" width="6.85546875" customWidth="1"/>
    <col min="14592" max="14592" width="6" customWidth="1"/>
    <col min="14593" max="14593" width="13.28515625" customWidth="1"/>
    <col min="14594" max="14594" width="4.140625" customWidth="1"/>
    <col min="14595" max="14595" width="4" customWidth="1"/>
    <col min="14596" max="14596" width="4.7109375" customWidth="1"/>
    <col min="14597" max="14597" width="9.140625" customWidth="1"/>
    <col min="14598" max="14598" width="4.7109375" customWidth="1"/>
    <col min="14599" max="14599" width="5" customWidth="1"/>
    <col min="14600" max="14600" width="4.140625" customWidth="1"/>
    <col min="14601" max="14601" width="18.5703125" customWidth="1"/>
    <col min="14602" max="14602" width="9.140625" customWidth="1"/>
    <col min="14603" max="14603" width="5.5703125" customWidth="1"/>
    <col min="14604" max="14604" width="4.42578125" customWidth="1"/>
    <col min="14605" max="14607" width="4.5703125" customWidth="1"/>
    <col min="14608" max="14608" width="4.85546875" customWidth="1"/>
    <col min="14609" max="14609" width="4.5703125" customWidth="1"/>
    <col min="14610" max="14610" width="9.140625" customWidth="1"/>
    <col min="14611" max="14611" width="7.140625" customWidth="1"/>
    <col min="14612" max="14612" width="5.140625" customWidth="1"/>
    <col min="14613" max="14613" width="6.28515625" customWidth="1"/>
    <col min="14614" max="14614" width="5.5703125" customWidth="1"/>
    <col min="14615" max="14615" width="5.140625" customWidth="1"/>
    <col min="14616" max="14616" width="7.28515625" customWidth="1"/>
    <col min="14617" max="14618" width="5.140625" customWidth="1"/>
    <col min="14619" max="14619" width="4.28515625" customWidth="1"/>
    <col min="14620" max="14621" width="6.28515625" customWidth="1"/>
    <col min="14622" max="14622" width="4.42578125" customWidth="1"/>
    <col min="14623" max="14623" width="9.140625" customWidth="1"/>
    <col min="14625" max="14625" width="6.7109375" customWidth="1"/>
    <col min="14626" max="14626" width="7.85546875" customWidth="1"/>
    <col min="14627" max="14627" width="5.28515625" customWidth="1"/>
    <col min="14630" max="14635" width="5.85546875" customWidth="1"/>
    <col min="14843" max="14843" width="5.140625" customWidth="1"/>
    <col min="14845" max="14846" width="5.140625" customWidth="1"/>
    <col min="14847" max="14847" width="6.85546875" customWidth="1"/>
    <col min="14848" max="14848" width="6" customWidth="1"/>
    <col min="14849" max="14849" width="13.28515625" customWidth="1"/>
    <col min="14850" max="14850" width="4.140625" customWidth="1"/>
    <col min="14851" max="14851" width="4" customWidth="1"/>
    <col min="14852" max="14852" width="4.7109375" customWidth="1"/>
    <col min="14853" max="14853" width="9.140625" customWidth="1"/>
    <col min="14854" max="14854" width="4.7109375" customWidth="1"/>
    <col min="14855" max="14855" width="5" customWidth="1"/>
    <col min="14856" max="14856" width="4.140625" customWidth="1"/>
    <col min="14857" max="14857" width="18.5703125" customWidth="1"/>
    <col min="14858" max="14858" width="9.140625" customWidth="1"/>
    <col min="14859" max="14859" width="5.5703125" customWidth="1"/>
    <col min="14860" max="14860" width="4.42578125" customWidth="1"/>
    <col min="14861" max="14863" width="4.5703125" customWidth="1"/>
    <col min="14864" max="14864" width="4.85546875" customWidth="1"/>
    <col min="14865" max="14865" width="4.5703125" customWidth="1"/>
    <col min="14866" max="14866" width="9.140625" customWidth="1"/>
    <col min="14867" max="14867" width="7.140625" customWidth="1"/>
    <col min="14868" max="14868" width="5.140625" customWidth="1"/>
    <col min="14869" max="14869" width="6.28515625" customWidth="1"/>
    <col min="14870" max="14870" width="5.5703125" customWidth="1"/>
    <col min="14871" max="14871" width="5.140625" customWidth="1"/>
    <col min="14872" max="14872" width="7.28515625" customWidth="1"/>
    <col min="14873" max="14874" width="5.140625" customWidth="1"/>
    <col min="14875" max="14875" width="4.28515625" customWidth="1"/>
    <col min="14876" max="14877" width="6.28515625" customWidth="1"/>
    <col min="14878" max="14878" width="4.42578125" customWidth="1"/>
    <col min="14879" max="14879" width="9.140625" customWidth="1"/>
    <col min="14881" max="14881" width="6.7109375" customWidth="1"/>
    <col min="14882" max="14882" width="7.85546875" customWidth="1"/>
    <col min="14883" max="14883" width="5.28515625" customWidth="1"/>
    <col min="14886" max="14891" width="5.85546875" customWidth="1"/>
    <col min="15099" max="15099" width="5.140625" customWidth="1"/>
    <col min="15101" max="15102" width="5.140625" customWidth="1"/>
    <col min="15103" max="15103" width="6.85546875" customWidth="1"/>
    <col min="15104" max="15104" width="6" customWidth="1"/>
    <col min="15105" max="15105" width="13.28515625" customWidth="1"/>
    <col min="15106" max="15106" width="4.140625" customWidth="1"/>
    <col min="15107" max="15107" width="4" customWidth="1"/>
    <col min="15108" max="15108" width="4.7109375" customWidth="1"/>
    <col min="15109" max="15109" width="9.140625" customWidth="1"/>
    <col min="15110" max="15110" width="4.7109375" customWidth="1"/>
    <col min="15111" max="15111" width="5" customWidth="1"/>
    <col min="15112" max="15112" width="4.140625" customWidth="1"/>
    <col min="15113" max="15113" width="18.5703125" customWidth="1"/>
    <col min="15114" max="15114" width="9.140625" customWidth="1"/>
    <col min="15115" max="15115" width="5.5703125" customWidth="1"/>
    <col min="15116" max="15116" width="4.42578125" customWidth="1"/>
    <col min="15117" max="15119" width="4.5703125" customWidth="1"/>
    <col min="15120" max="15120" width="4.85546875" customWidth="1"/>
    <col min="15121" max="15121" width="4.5703125" customWidth="1"/>
    <col min="15122" max="15122" width="9.140625" customWidth="1"/>
    <col min="15123" max="15123" width="7.140625" customWidth="1"/>
    <col min="15124" max="15124" width="5.140625" customWidth="1"/>
    <col min="15125" max="15125" width="6.28515625" customWidth="1"/>
    <col min="15126" max="15126" width="5.5703125" customWidth="1"/>
    <col min="15127" max="15127" width="5.140625" customWidth="1"/>
    <col min="15128" max="15128" width="7.28515625" customWidth="1"/>
    <col min="15129" max="15130" width="5.140625" customWidth="1"/>
    <col min="15131" max="15131" width="4.28515625" customWidth="1"/>
    <col min="15132" max="15133" width="6.28515625" customWidth="1"/>
    <col min="15134" max="15134" width="4.42578125" customWidth="1"/>
    <col min="15135" max="15135" width="9.140625" customWidth="1"/>
    <col min="15137" max="15137" width="6.7109375" customWidth="1"/>
    <col min="15138" max="15138" width="7.85546875" customWidth="1"/>
    <col min="15139" max="15139" width="5.28515625" customWidth="1"/>
    <col min="15142" max="15147" width="5.85546875" customWidth="1"/>
    <col min="15355" max="15355" width="5.140625" customWidth="1"/>
    <col min="15357" max="15358" width="5.140625" customWidth="1"/>
    <col min="15359" max="15359" width="6.85546875" customWidth="1"/>
    <col min="15360" max="15360" width="6" customWidth="1"/>
    <col min="15361" max="15361" width="13.28515625" customWidth="1"/>
    <col min="15362" max="15362" width="4.140625" customWidth="1"/>
    <col min="15363" max="15363" width="4" customWidth="1"/>
    <col min="15364" max="15364" width="4.7109375" customWidth="1"/>
    <col min="15365" max="15365" width="9.140625" customWidth="1"/>
    <col min="15366" max="15366" width="4.7109375" customWidth="1"/>
    <col min="15367" max="15367" width="5" customWidth="1"/>
    <col min="15368" max="15368" width="4.140625" customWidth="1"/>
    <col min="15369" max="15369" width="18.5703125" customWidth="1"/>
    <col min="15370" max="15370" width="9.140625" customWidth="1"/>
    <col min="15371" max="15371" width="5.5703125" customWidth="1"/>
    <col min="15372" max="15372" width="4.42578125" customWidth="1"/>
    <col min="15373" max="15375" width="4.5703125" customWidth="1"/>
    <col min="15376" max="15376" width="4.85546875" customWidth="1"/>
    <col min="15377" max="15377" width="4.5703125" customWidth="1"/>
    <col min="15378" max="15378" width="9.140625" customWidth="1"/>
    <col min="15379" max="15379" width="7.140625" customWidth="1"/>
    <col min="15380" max="15380" width="5.140625" customWidth="1"/>
    <col min="15381" max="15381" width="6.28515625" customWidth="1"/>
    <col min="15382" max="15382" width="5.5703125" customWidth="1"/>
    <col min="15383" max="15383" width="5.140625" customWidth="1"/>
    <col min="15384" max="15384" width="7.28515625" customWidth="1"/>
    <col min="15385" max="15386" width="5.140625" customWidth="1"/>
    <col min="15387" max="15387" width="4.28515625" customWidth="1"/>
    <col min="15388" max="15389" width="6.28515625" customWidth="1"/>
    <col min="15390" max="15390" width="4.42578125" customWidth="1"/>
    <col min="15391" max="15391" width="9.140625" customWidth="1"/>
    <col min="15393" max="15393" width="6.7109375" customWidth="1"/>
    <col min="15394" max="15394" width="7.85546875" customWidth="1"/>
    <col min="15395" max="15395" width="5.28515625" customWidth="1"/>
    <col min="15398" max="15403" width="5.85546875" customWidth="1"/>
    <col min="15611" max="15611" width="5.140625" customWidth="1"/>
    <col min="15613" max="15614" width="5.140625" customWidth="1"/>
    <col min="15615" max="15615" width="6.85546875" customWidth="1"/>
    <col min="15616" max="15616" width="6" customWidth="1"/>
    <col min="15617" max="15617" width="13.28515625" customWidth="1"/>
    <col min="15618" max="15618" width="4.140625" customWidth="1"/>
    <col min="15619" max="15619" width="4" customWidth="1"/>
    <col min="15620" max="15620" width="4.7109375" customWidth="1"/>
    <col min="15621" max="15621" width="9.140625" customWidth="1"/>
    <col min="15622" max="15622" width="4.7109375" customWidth="1"/>
    <col min="15623" max="15623" width="5" customWidth="1"/>
    <col min="15624" max="15624" width="4.140625" customWidth="1"/>
    <col min="15625" max="15625" width="18.5703125" customWidth="1"/>
    <col min="15626" max="15626" width="9.140625" customWidth="1"/>
    <col min="15627" max="15627" width="5.5703125" customWidth="1"/>
    <col min="15628" max="15628" width="4.42578125" customWidth="1"/>
    <col min="15629" max="15631" width="4.5703125" customWidth="1"/>
    <col min="15632" max="15632" width="4.85546875" customWidth="1"/>
    <col min="15633" max="15633" width="4.5703125" customWidth="1"/>
    <col min="15634" max="15634" width="9.140625" customWidth="1"/>
    <col min="15635" max="15635" width="7.140625" customWidth="1"/>
    <col min="15636" max="15636" width="5.140625" customWidth="1"/>
    <col min="15637" max="15637" width="6.28515625" customWidth="1"/>
    <col min="15638" max="15638" width="5.5703125" customWidth="1"/>
    <col min="15639" max="15639" width="5.140625" customWidth="1"/>
    <col min="15640" max="15640" width="7.28515625" customWidth="1"/>
    <col min="15641" max="15642" width="5.140625" customWidth="1"/>
    <col min="15643" max="15643" width="4.28515625" customWidth="1"/>
    <col min="15644" max="15645" width="6.28515625" customWidth="1"/>
    <col min="15646" max="15646" width="4.42578125" customWidth="1"/>
    <col min="15647" max="15647" width="9.140625" customWidth="1"/>
    <col min="15649" max="15649" width="6.7109375" customWidth="1"/>
    <col min="15650" max="15650" width="7.85546875" customWidth="1"/>
    <col min="15651" max="15651" width="5.28515625" customWidth="1"/>
    <col min="15654" max="15659" width="5.85546875" customWidth="1"/>
    <col min="15867" max="15867" width="5.140625" customWidth="1"/>
    <col min="15869" max="15870" width="5.140625" customWidth="1"/>
    <col min="15871" max="15871" width="6.85546875" customWidth="1"/>
    <col min="15872" max="15872" width="6" customWidth="1"/>
    <col min="15873" max="15873" width="13.28515625" customWidth="1"/>
    <col min="15874" max="15874" width="4.140625" customWidth="1"/>
    <col min="15875" max="15875" width="4" customWidth="1"/>
    <col min="15876" max="15876" width="4.7109375" customWidth="1"/>
    <col min="15877" max="15877" width="9.140625" customWidth="1"/>
    <col min="15878" max="15878" width="4.7109375" customWidth="1"/>
    <col min="15879" max="15879" width="5" customWidth="1"/>
    <col min="15880" max="15880" width="4.140625" customWidth="1"/>
    <col min="15881" max="15881" width="18.5703125" customWidth="1"/>
    <col min="15882" max="15882" width="9.140625" customWidth="1"/>
    <col min="15883" max="15883" width="5.5703125" customWidth="1"/>
    <col min="15884" max="15884" width="4.42578125" customWidth="1"/>
    <col min="15885" max="15887" width="4.5703125" customWidth="1"/>
    <col min="15888" max="15888" width="4.85546875" customWidth="1"/>
    <col min="15889" max="15889" width="4.5703125" customWidth="1"/>
    <col min="15890" max="15890" width="9.140625" customWidth="1"/>
    <col min="15891" max="15891" width="7.140625" customWidth="1"/>
    <col min="15892" max="15892" width="5.140625" customWidth="1"/>
    <col min="15893" max="15893" width="6.28515625" customWidth="1"/>
    <col min="15894" max="15894" width="5.5703125" customWidth="1"/>
    <col min="15895" max="15895" width="5.140625" customWidth="1"/>
    <col min="15896" max="15896" width="7.28515625" customWidth="1"/>
    <col min="15897" max="15898" width="5.140625" customWidth="1"/>
    <col min="15899" max="15899" width="4.28515625" customWidth="1"/>
    <col min="15900" max="15901" width="6.28515625" customWidth="1"/>
    <col min="15902" max="15902" width="4.42578125" customWidth="1"/>
    <col min="15903" max="15903" width="9.140625" customWidth="1"/>
    <col min="15905" max="15905" width="6.7109375" customWidth="1"/>
    <col min="15906" max="15906" width="7.85546875" customWidth="1"/>
    <col min="15907" max="15907" width="5.28515625" customWidth="1"/>
    <col min="15910" max="15915" width="5.85546875" customWidth="1"/>
    <col min="16123" max="16123" width="5.140625" customWidth="1"/>
    <col min="16125" max="16126" width="5.140625" customWidth="1"/>
    <col min="16127" max="16127" width="6.85546875" customWidth="1"/>
    <col min="16128" max="16128" width="6" customWidth="1"/>
    <col min="16129" max="16129" width="13.28515625" customWidth="1"/>
    <col min="16130" max="16130" width="4.140625" customWidth="1"/>
    <col min="16131" max="16131" width="4" customWidth="1"/>
    <col min="16132" max="16132" width="4.7109375" customWidth="1"/>
    <col min="16133" max="16133" width="9.140625" customWidth="1"/>
    <col min="16134" max="16134" width="4.7109375" customWidth="1"/>
    <col min="16135" max="16135" width="5" customWidth="1"/>
    <col min="16136" max="16136" width="4.140625" customWidth="1"/>
    <col min="16137" max="16137" width="18.5703125" customWidth="1"/>
    <col min="16138" max="16138" width="9.140625" customWidth="1"/>
    <col min="16139" max="16139" width="5.5703125" customWidth="1"/>
    <col min="16140" max="16140" width="4.42578125" customWidth="1"/>
    <col min="16141" max="16143" width="4.5703125" customWidth="1"/>
    <col min="16144" max="16144" width="4.85546875" customWidth="1"/>
    <col min="16145" max="16145" width="4.5703125" customWidth="1"/>
    <col min="16146" max="16146" width="9.140625" customWidth="1"/>
    <col min="16147" max="16147" width="7.140625" customWidth="1"/>
    <col min="16148" max="16148" width="5.140625" customWidth="1"/>
    <col min="16149" max="16149" width="6.28515625" customWidth="1"/>
    <col min="16150" max="16150" width="5.5703125" customWidth="1"/>
    <col min="16151" max="16151" width="5.140625" customWidth="1"/>
    <col min="16152" max="16152" width="7.28515625" customWidth="1"/>
    <col min="16153" max="16154" width="5.140625" customWidth="1"/>
    <col min="16155" max="16155" width="4.28515625" customWidth="1"/>
    <col min="16156" max="16157" width="6.28515625" customWidth="1"/>
    <col min="16158" max="16158" width="4.42578125" customWidth="1"/>
    <col min="16159" max="16159" width="9.140625" customWidth="1"/>
    <col min="16161" max="16161" width="6.7109375" customWidth="1"/>
    <col min="16162" max="16162" width="7.85546875" customWidth="1"/>
    <col min="16163" max="16163" width="5.28515625" customWidth="1"/>
    <col min="16166" max="16171" width="5.85546875" customWidth="1"/>
  </cols>
  <sheetData>
    <row r="1" spans="1:68">
      <c r="A1" s="517" t="s">
        <v>1701</v>
      </c>
      <c r="I1" s="151"/>
      <c r="O1" s="28"/>
      <c r="P1" s="518"/>
      <c r="W1" s="362"/>
      <c r="AG1" s="27"/>
    </row>
    <row r="2" spans="1:68">
      <c r="I2" s="151"/>
      <c r="V2" s="520"/>
      <c r="AG2" s="27"/>
    </row>
    <row r="3" spans="1:68">
      <c r="R3" s="521" t="s">
        <v>1702</v>
      </c>
      <c r="T3" s="522" t="s">
        <v>1703</v>
      </c>
      <c r="AK3" s="151" t="s">
        <v>1704</v>
      </c>
    </row>
    <row r="4" spans="1:68" ht="27" customHeight="1">
      <c r="A4" s="523"/>
      <c r="B4" s="523"/>
      <c r="C4" s="8"/>
      <c r="D4" s="8"/>
      <c r="E4" s="9"/>
      <c r="F4" s="10" t="s">
        <v>4</v>
      </c>
      <c r="G4" s="11" t="s">
        <v>1705</v>
      </c>
      <c r="H4" s="524"/>
      <c r="I4" s="525" t="s">
        <v>1706</v>
      </c>
      <c r="J4" s="9"/>
      <c r="K4" s="8"/>
      <c r="L4" s="8"/>
      <c r="M4" s="526"/>
      <c r="N4" s="8"/>
      <c r="O4" s="9"/>
      <c r="P4" s="8"/>
      <c r="Q4" s="17"/>
      <c r="R4" s="9" t="s">
        <v>1707</v>
      </c>
      <c r="S4" s="8"/>
      <c r="T4" s="527" t="s">
        <v>1708</v>
      </c>
      <c r="U4" s="8"/>
      <c r="V4" s="9"/>
      <c r="W4" s="8"/>
      <c r="X4" s="8"/>
      <c r="Y4" s="8" t="s">
        <v>1709</v>
      </c>
      <c r="Z4" s="8"/>
      <c r="AA4" s="9"/>
      <c r="AB4" s="8"/>
      <c r="AC4" s="8"/>
      <c r="AD4" s="526" t="s">
        <v>1709</v>
      </c>
      <c r="AE4" s="8"/>
      <c r="AF4" s="8"/>
      <c r="AG4" s="9"/>
      <c r="AH4" s="528"/>
      <c r="AK4" s="529" t="s">
        <v>1710</v>
      </c>
      <c r="AL4" s="529" t="s">
        <v>1711</v>
      </c>
      <c r="AX4" t="s">
        <v>1803</v>
      </c>
    </row>
    <row r="5" spans="1:68">
      <c r="A5" s="523"/>
      <c r="B5" s="530"/>
      <c r="C5" s="27"/>
      <c r="D5" s="27"/>
      <c r="E5" s="28"/>
      <c r="F5" s="29" t="s">
        <v>14</v>
      </c>
      <c r="G5" s="27"/>
      <c r="H5" s="531"/>
      <c r="I5" s="156"/>
      <c r="J5" s="693" t="s">
        <v>1712</v>
      </c>
      <c r="K5" s="693"/>
      <c r="L5" s="693"/>
      <c r="M5" s="693"/>
      <c r="N5" s="693"/>
      <c r="O5" s="693" t="s">
        <v>1520</v>
      </c>
      <c r="P5" s="693"/>
      <c r="Q5" s="693"/>
      <c r="R5" s="31" t="s">
        <v>1713</v>
      </c>
      <c r="S5" s="532"/>
      <c r="T5" s="533" t="s">
        <v>1714</v>
      </c>
      <c r="U5" s="532"/>
      <c r="V5" s="35" t="s">
        <v>1521</v>
      </c>
      <c r="W5" s="532"/>
      <c r="X5" s="532"/>
      <c r="Y5" s="693" t="s">
        <v>1715</v>
      </c>
      <c r="Z5" s="693"/>
      <c r="AA5" s="31" t="s">
        <v>1525</v>
      </c>
      <c r="AB5" s="532"/>
      <c r="AC5" s="532"/>
      <c r="AD5" s="693" t="s">
        <v>1716</v>
      </c>
      <c r="AE5" s="741"/>
      <c r="AF5" s="534"/>
      <c r="AG5" s="28" t="s">
        <v>22</v>
      </c>
      <c r="AH5" s="9" t="s">
        <v>1528</v>
      </c>
      <c r="AI5" s="151"/>
      <c r="AK5" s="151" t="s">
        <v>1717</v>
      </c>
      <c r="AL5" s="535" t="s">
        <v>1718</v>
      </c>
      <c r="AM5" s="535"/>
      <c r="AN5" s="535" t="s">
        <v>1545</v>
      </c>
      <c r="AO5" s="535"/>
      <c r="AP5" s="535"/>
      <c r="AQ5" s="535"/>
      <c r="AX5" t="s">
        <v>1799</v>
      </c>
    </row>
    <row r="6" spans="1:68" s="79" customFormat="1" ht="60" customHeight="1">
      <c r="A6" s="536" t="s">
        <v>1719</v>
      </c>
      <c r="B6" s="537" t="s">
        <v>1530</v>
      </c>
      <c r="C6" s="538" t="s">
        <v>1720</v>
      </c>
      <c r="D6" s="538" t="s">
        <v>1721</v>
      </c>
      <c r="E6" s="39" t="s">
        <v>29</v>
      </c>
      <c r="F6" s="40" t="s">
        <v>30</v>
      </c>
      <c r="G6" s="539" t="s">
        <v>31</v>
      </c>
      <c r="H6" s="540" t="s">
        <v>1722</v>
      </c>
      <c r="I6" s="541"/>
      <c r="J6" s="542" t="s">
        <v>41</v>
      </c>
      <c r="K6" s="539" t="s">
        <v>35</v>
      </c>
      <c r="L6" s="539" t="s">
        <v>36</v>
      </c>
      <c r="M6" s="543" t="s">
        <v>37</v>
      </c>
      <c r="N6" s="539" t="s">
        <v>42</v>
      </c>
      <c r="O6" s="542" t="s">
        <v>35</v>
      </c>
      <c r="P6" s="539" t="s">
        <v>36</v>
      </c>
      <c r="Q6" s="544" t="s">
        <v>37</v>
      </c>
      <c r="R6" s="542" t="s">
        <v>36</v>
      </c>
      <c r="S6" s="538" t="s">
        <v>37</v>
      </c>
      <c r="T6" s="545"/>
      <c r="U6" s="538"/>
      <c r="V6" s="542" t="s">
        <v>35</v>
      </c>
      <c r="W6" s="539" t="s">
        <v>36</v>
      </c>
      <c r="X6" s="539" t="s">
        <v>37</v>
      </c>
      <c r="Y6" s="539" t="s">
        <v>1540</v>
      </c>
      <c r="Z6" s="539" t="s">
        <v>1541</v>
      </c>
      <c r="AA6" s="542" t="s">
        <v>35</v>
      </c>
      <c r="AB6" s="539" t="s">
        <v>36</v>
      </c>
      <c r="AC6" s="539" t="s">
        <v>37</v>
      </c>
      <c r="AD6" s="547" t="s">
        <v>36</v>
      </c>
      <c r="AE6" s="546" t="s">
        <v>44</v>
      </c>
      <c r="AF6" s="548" t="s">
        <v>1723</v>
      </c>
      <c r="AG6" s="542" t="s">
        <v>24</v>
      </c>
      <c r="AH6" s="9" t="s">
        <v>46</v>
      </c>
      <c r="AI6" s="548"/>
      <c r="AJ6" s="546"/>
      <c r="AM6" s="548" t="s">
        <v>1724</v>
      </c>
      <c r="AN6" s="548" t="s">
        <v>36</v>
      </c>
      <c r="AO6" s="548" t="s">
        <v>37</v>
      </c>
      <c r="AP6" s="548" t="s">
        <v>1725</v>
      </c>
      <c r="AQ6" s="548"/>
      <c r="AX6" s="79" t="s">
        <v>1801</v>
      </c>
      <c r="AY6" s="79" t="s">
        <v>1800</v>
      </c>
      <c r="AZ6" s="79" t="s">
        <v>1802</v>
      </c>
      <c r="BA6" s="79" t="s">
        <v>1530</v>
      </c>
    </row>
    <row r="7" spans="1:68">
      <c r="A7">
        <v>228</v>
      </c>
      <c r="B7" s="51">
        <v>3785.8</v>
      </c>
      <c r="C7" s="516" t="s">
        <v>1683</v>
      </c>
      <c r="D7" s="516"/>
      <c r="E7" s="2">
        <v>0.65500000000000003</v>
      </c>
      <c r="F7" s="53">
        <v>21.3</v>
      </c>
      <c r="G7" s="151" t="s">
        <v>1742</v>
      </c>
      <c r="H7" s="516"/>
      <c r="J7" s="2">
        <v>1</v>
      </c>
      <c r="K7" s="565" t="s">
        <v>654</v>
      </c>
      <c r="L7">
        <v>300</v>
      </c>
      <c r="M7" s="3">
        <v>-17</v>
      </c>
      <c r="N7" s="151" t="s">
        <v>1743</v>
      </c>
      <c r="O7" s="521" t="s">
        <v>133</v>
      </c>
      <c r="P7" s="151">
        <v>89</v>
      </c>
      <c r="Q7" s="151">
        <v>70</v>
      </c>
      <c r="R7" s="521">
        <f>IF(L7-P7 &lt;0, L7-P7+360, L7-P7)</f>
        <v>211</v>
      </c>
      <c r="S7" s="151">
        <f t="shared" ref="S7:S27" si="0">M7</f>
        <v>-17</v>
      </c>
      <c r="T7" s="522">
        <f t="shared" ref="T7:T27" si="1">IF(P7+AK7 &gt;360, P7+AK7-360, IF(P7+AK7 &lt;0, P7+AK7+360, P7+AK7))</f>
        <v>356.1</v>
      </c>
      <c r="U7" s="151">
        <f t="shared" ref="U7:U27" si="2">Q7</f>
        <v>70</v>
      </c>
      <c r="Y7" t="str">
        <f t="shared" ref="Y7:Y27" si="3">IF(ISBLANK(W7),"",IF(W7+AK7 &gt;360, W7+AK7-360, IF(W7+AK7 &lt;0, W7+AK7+360, W7+AK7)))</f>
        <v/>
      </c>
      <c r="Z7" s="535" t="str">
        <f t="shared" ref="Z7:Z27" si="4">IF(ISBLANK(X7),"",X7)</f>
        <v/>
      </c>
      <c r="AA7" s="552" t="s">
        <v>245</v>
      </c>
      <c r="AB7" s="535">
        <v>211</v>
      </c>
      <c r="AC7" s="535">
        <v>9</v>
      </c>
      <c r="AD7" s="3">
        <f t="shared" ref="AD7:AD27" si="5">IF(ISBLANK(AB7),"",IF(AB7+AK7 &gt;360, AB7+AK7-360, IF(AB7+AK7 &lt;0, AB7+AK7+360, AB7+AK7)))</f>
        <v>118.1</v>
      </c>
      <c r="AE7">
        <f t="shared" ref="AE7:AE27" si="6">IF(ISBLANK(AC7),"",AC7)</f>
        <v>9</v>
      </c>
      <c r="AG7" s="151" t="s">
        <v>63</v>
      </c>
      <c r="AH7" s="556" t="s">
        <v>181</v>
      </c>
      <c r="AK7">
        <f>207.1-L7</f>
        <v>-92.9</v>
      </c>
      <c r="AL7" s="3">
        <f t="shared" ref="AL7:AL27" si="7">IF(90+AK7 &lt;0, 90+AK7+360, 90+AK7)</f>
        <v>357.1</v>
      </c>
      <c r="AM7" s="53"/>
      <c r="AN7" s="53"/>
      <c r="AO7" s="53"/>
      <c r="AP7" s="53"/>
      <c r="AQ7" s="53"/>
      <c r="BP7" s="151"/>
    </row>
    <row r="8" spans="1:68">
      <c r="A8">
        <v>231</v>
      </c>
      <c r="B8" s="514">
        <v>3786.72</v>
      </c>
      <c r="C8" s="515" t="s">
        <v>1744</v>
      </c>
      <c r="D8" s="515"/>
      <c r="E8" s="2">
        <v>0.56899999999999995</v>
      </c>
      <c r="F8" s="53">
        <v>25.4</v>
      </c>
      <c r="G8" s="553" t="s">
        <v>1737</v>
      </c>
      <c r="H8" s="516" t="s">
        <v>137</v>
      </c>
      <c r="J8" s="2">
        <v>2.5</v>
      </c>
      <c r="K8" s="565" t="s">
        <v>1736</v>
      </c>
      <c r="L8">
        <v>154</v>
      </c>
      <c r="M8" s="3">
        <v>-37</v>
      </c>
      <c r="O8" s="521" t="s">
        <v>133</v>
      </c>
      <c r="P8" s="515">
        <v>340</v>
      </c>
      <c r="Q8" s="151">
        <v>76</v>
      </c>
      <c r="R8" s="521">
        <f>IF(L8-P9 &lt;0, L8-P9+360, L8-P9)</f>
        <v>216</v>
      </c>
      <c r="S8" s="151">
        <f t="shared" si="0"/>
        <v>-37</v>
      </c>
      <c r="T8" s="522">
        <f t="shared" si="1"/>
        <v>32.100000000000023</v>
      </c>
      <c r="U8" s="151">
        <f t="shared" si="2"/>
        <v>76</v>
      </c>
      <c r="V8" s="521" t="s">
        <v>1733</v>
      </c>
      <c r="W8">
        <v>268</v>
      </c>
      <c r="X8">
        <v>-10</v>
      </c>
      <c r="Y8">
        <f t="shared" si="3"/>
        <v>320.10000000000002</v>
      </c>
      <c r="Z8" s="535">
        <f t="shared" si="4"/>
        <v>-10</v>
      </c>
      <c r="AA8" s="552" t="s">
        <v>1745</v>
      </c>
      <c r="AB8" s="7">
        <v>268</v>
      </c>
      <c r="AC8" s="7">
        <v>-10</v>
      </c>
      <c r="AD8" s="3">
        <f t="shared" si="5"/>
        <v>320.10000000000002</v>
      </c>
      <c r="AE8">
        <f t="shared" si="6"/>
        <v>-10</v>
      </c>
      <c r="AF8" s="151" t="s">
        <v>87</v>
      </c>
      <c r="AG8" s="151" t="s">
        <v>105</v>
      </c>
      <c r="AH8" s="562" t="s">
        <v>107</v>
      </c>
      <c r="AK8" s="500">
        <f>207.1-AVERAGE(L$8:L$9)</f>
        <v>52.099999999999994</v>
      </c>
      <c r="AL8" s="3">
        <f t="shared" si="7"/>
        <v>142.1</v>
      </c>
      <c r="AM8" s="53"/>
      <c r="AN8" s="73">
        <v>57.2</v>
      </c>
      <c r="AO8" s="73">
        <v>-35.4</v>
      </c>
      <c r="AP8" s="73">
        <v>64.099999999999994</v>
      </c>
      <c r="AQ8" s="73"/>
      <c r="AX8">
        <v>3784</v>
      </c>
      <c r="AY8">
        <v>35</v>
      </c>
      <c r="AZ8">
        <v>25.4</v>
      </c>
      <c r="BA8">
        <v>3783.35</v>
      </c>
    </row>
    <row r="9" spans="1:68" s="38" customFormat="1" ht="15.75" thickBot="1">
      <c r="A9" s="217">
        <v>232</v>
      </c>
      <c r="B9" s="573">
        <v>3786.97</v>
      </c>
      <c r="C9" s="574" t="s">
        <v>1746</v>
      </c>
      <c r="D9" s="574"/>
      <c r="E9" s="506">
        <v>0.41599999999999998</v>
      </c>
      <c r="F9" s="217">
        <v>22</v>
      </c>
      <c r="G9" s="567" t="s">
        <v>1747</v>
      </c>
      <c r="H9" s="566" t="s">
        <v>137</v>
      </c>
      <c r="I9" s="568" t="s">
        <v>1729</v>
      </c>
      <c r="J9" s="506">
        <v>1</v>
      </c>
      <c r="K9" s="572" t="s">
        <v>1748</v>
      </c>
      <c r="L9" s="38">
        <v>156</v>
      </c>
      <c r="M9" s="509">
        <v>-34</v>
      </c>
      <c r="N9" s="568" t="s">
        <v>1749</v>
      </c>
      <c r="O9" s="569" t="s">
        <v>76</v>
      </c>
      <c r="P9" s="574">
        <v>298</v>
      </c>
      <c r="Q9" s="566">
        <v>64</v>
      </c>
      <c r="R9" s="569">
        <f t="shared" ref="R9:R14" si="8">IF(L9-P9 &lt;0, L9-P9+360, L9-P9)</f>
        <v>218</v>
      </c>
      <c r="S9" s="568">
        <f t="shared" si="0"/>
        <v>-34</v>
      </c>
      <c r="T9" s="570">
        <f t="shared" si="1"/>
        <v>350.1</v>
      </c>
      <c r="U9" s="568">
        <f t="shared" si="2"/>
        <v>64</v>
      </c>
      <c r="V9" s="571" t="s">
        <v>1727</v>
      </c>
      <c r="W9" s="566">
        <v>5</v>
      </c>
      <c r="X9" s="566">
        <v>-19</v>
      </c>
      <c r="Y9" s="38">
        <f t="shared" si="3"/>
        <v>57.099999999999994</v>
      </c>
      <c r="Z9" s="566">
        <f t="shared" si="4"/>
        <v>-19</v>
      </c>
      <c r="AA9" s="575" t="s">
        <v>78</v>
      </c>
      <c r="AB9" s="566">
        <v>98</v>
      </c>
      <c r="AC9" s="566">
        <v>34</v>
      </c>
      <c r="AD9" s="509">
        <f t="shared" si="5"/>
        <v>150.1</v>
      </c>
      <c r="AE9" s="38">
        <f t="shared" si="6"/>
        <v>34</v>
      </c>
      <c r="AF9" s="568"/>
      <c r="AG9" s="568" t="s">
        <v>113</v>
      </c>
      <c r="AH9" s="576" t="s">
        <v>67</v>
      </c>
      <c r="AI9" s="549" t="s">
        <v>1750</v>
      </c>
      <c r="AK9" s="577">
        <f>207.1-AVERAGE(L$8:L$9)</f>
        <v>52.099999999999994</v>
      </c>
      <c r="AL9" s="509">
        <f t="shared" si="7"/>
        <v>142.1</v>
      </c>
      <c r="AM9">
        <v>61.4</v>
      </c>
      <c r="AN9" s="73"/>
      <c r="AO9" s="73"/>
      <c r="AP9" s="73"/>
      <c r="AQ9" s="73"/>
      <c r="AX9"/>
      <c r="AY9"/>
      <c r="AZ9"/>
      <c r="BA9">
        <v>3783.4</v>
      </c>
    </row>
    <row r="10" spans="1:68">
      <c r="A10">
        <v>235</v>
      </c>
      <c r="B10" s="51">
        <v>3787.69</v>
      </c>
      <c r="C10" s="516" t="s">
        <v>1726</v>
      </c>
      <c r="D10" s="516"/>
      <c r="E10" s="2">
        <v>0.246</v>
      </c>
      <c r="F10" s="53">
        <v>23.1</v>
      </c>
      <c r="G10" s="151" t="s">
        <v>1751</v>
      </c>
      <c r="H10" s="516"/>
      <c r="J10" s="2">
        <v>1</v>
      </c>
      <c r="K10" s="151" t="s">
        <v>662</v>
      </c>
      <c r="L10">
        <v>194</v>
      </c>
      <c r="M10" s="3">
        <v>-26</v>
      </c>
      <c r="N10" s="151" t="s">
        <v>1752</v>
      </c>
      <c r="O10" s="521" t="s">
        <v>1731</v>
      </c>
      <c r="P10" s="151">
        <v>9</v>
      </c>
      <c r="Q10" s="151">
        <v>72</v>
      </c>
      <c r="R10" s="521">
        <f t="shared" si="8"/>
        <v>185</v>
      </c>
      <c r="S10" s="151">
        <f t="shared" si="0"/>
        <v>-26</v>
      </c>
      <c r="T10" s="522">
        <f t="shared" si="1"/>
        <v>22.099999999999994</v>
      </c>
      <c r="U10" s="151">
        <f t="shared" si="2"/>
        <v>72</v>
      </c>
      <c r="Y10" t="str">
        <f t="shared" si="3"/>
        <v/>
      </c>
      <c r="Z10" s="535" t="str">
        <f t="shared" si="4"/>
        <v/>
      </c>
      <c r="AA10" s="552" t="s">
        <v>371</v>
      </c>
      <c r="AB10" s="535">
        <v>295</v>
      </c>
      <c r="AC10" s="535">
        <v>-13</v>
      </c>
      <c r="AD10" s="3">
        <f t="shared" si="5"/>
        <v>308.10000000000002</v>
      </c>
      <c r="AE10">
        <f t="shared" si="6"/>
        <v>-13</v>
      </c>
      <c r="AG10" s="151" t="s">
        <v>190</v>
      </c>
      <c r="AH10" s="556" t="s">
        <v>181</v>
      </c>
      <c r="AI10" s="151" t="s">
        <v>1753</v>
      </c>
      <c r="AK10">
        <f>207.1-L10</f>
        <v>13.099999999999994</v>
      </c>
      <c r="AL10" s="3">
        <f t="shared" si="7"/>
        <v>103.1</v>
      </c>
      <c r="AM10" s="53"/>
      <c r="AN10" s="73"/>
      <c r="AO10" s="73"/>
      <c r="AP10" s="73"/>
      <c r="AQ10" s="73"/>
      <c r="BA10">
        <v>3783.4500000000003</v>
      </c>
    </row>
    <row r="11" spans="1:68" s="73" customFormat="1">
      <c r="A11" s="73">
        <v>237</v>
      </c>
      <c r="B11" s="97">
        <v>3788.47</v>
      </c>
      <c r="C11" s="535" t="s">
        <v>1726</v>
      </c>
      <c r="D11" s="535"/>
      <c r="E11" s="73">
        <v>0.47399999999999998</v>
      </c>
      <c r="F11" s="53">
        <v>26.2</v>
      </c>
      <c r="G11" s="564" t="s">
        <v>1732</v>
      </c>
      <c r="H11" s="535" t="s">
        <v>137</v>
      </c>
      <c r="J11" s="73">
        <v>1.7</v>
      </c>
      <c r="K11" s="563" t="s">
        <v>581</v>
      </c>
      <c r="L11" s="73">
        <v>244</v>
      </c>
      <c r="M11" s="6">
        <v>-28</v>
      </c>
      <c r="N11" s="549" t="s">
        <v>1081</v>
      </c>
      <c r="O11" s="549" t="s">
        <v>133</v>
      </c>
      <c r="P11" s="549">
        <v>13</v>
      </c>
      <c r="Q11" s="549">
        <v>74</v>
      </c>
      <c r="R11" s="549">
        <f t="shared" si="8"/>
        <v>231</v>
      </c>
      <c r="S11" s="549">
        <f t="shared" si="0"/>
        <v>-28</v>
      </c>
      <c r="T11" s="550">
        <f t="shared" si="1"/>
        <v>336.1</v>
      </c>
      <c r="U11" s="549">
        <f t="shared" si="2"/>
        <v>74</v>
      </c>
      <c r="V11" s="563" t="s">
        <v>244</v>
      </c>
      <c r="W11" s="535">
        <v>358</v>
      </c>
      <c r="X11" s="535">
        <v>-18</v>
      </c>
      <c r="Y11" s="73">
        <f t="shared" si="3"/>
        <v>321.10000000000002</v>
      </c>
      <c r="Z11" s="535">
        <f t="shared" si="4"/>
        <v>-18</v>
      </c>
      <c r="AA11" s="561" t="s">
        <v>1572</v>
      </c>
      <c r="AB11" s="535">
        <v>335</v>
      </c>
      <c r="AC11" s="535">
        <v>-16</v>
      </c>
      <c r="AD11" s="6">
        <f t="shared" si="5"/>
        <v>298.10000000000002</v>
      </c>
      <c r="AE11" s="73">
        <f t="shared" si="6"/>
        <v>-16</v>
      </c>
      <c r="AF11" s="549" t="s">
        <v>87</v>
      </c>
      <c r="AG11" s="549" t="s">
        <v>105</v>
      </c>
      <c r="AH11" s="557" t="s">
        <v>88</v>
      </c>
      <c r="AK11" s="73">
        <f>207.1-L11</f>
        <v>-36.900000000000006</v>
      </c>
      <c r="AL11" s="6">
        <f t="shared" si="7"/>
        <v>53.099999999999994</v>
      </c>
      <c r="AM11" s="53"/>
      <c r="AN11" s="73">
        <v>39.4</v>
      </c>
      <c r="AO11" s="73">
        <v>-34.6</v>
      </c>
      <c r="AP11" s="73">
        <v>80.7</v>
      </c>
      <c r="AX11"/>
      <c r="AY11">
        <v>50</v>
      </c>
      <c r="AZ11">
        <v>26.2</v>
      </c>
      <c r="BA11">
        <v>3783.5</v>
      </c>
    </row>
    <row r="12" spans="1:68">
      <c r="A12">
        <v>239</v>
      </c>
      <c r="B12" s="51">
        <v>3788.95</v>
      </c>
      <c r="C12" s="516" t="s">
        <v>1726</v>
      </c>
      <c r="D12" s="516"/>
      <c r="E12" s="2">
        <v>0.38600000000000001</v>
      </c>
      <c r="F12" s="53">
        <v>23.3</v>
      </c>
      <c r="G12" s="151" t="s">
        <v>1754</v>
      </c>
      <c r="H12" s="516"/>
      <c r="J12" s="2">
        <v>1</v>
      </c>
      <c r="K12" s="151" t="s">
        <v>1755</v>
      </c>
      <c r="L12">
        <v>170</v>
      </c>
      <c r="M12" s="3">
        <v>-33</v>
      </c>
      <c r="N12" s="151" t="s">
        <v>1756</v>
      </c>
      <c r="O12" s="521" t="s">
        <v>1731</v>
      </c>
      <c r="P12" s="151">
        <v>330</v>
      </c>
      <c r="Q12" s="151">
        <v>71</v>
      </c>
      <c r="R12" s="521">
        <f t="shared" si="8"/>
        <v>200</v>
      </c>
      <c r="S12" s="151">
        <f t="shared" si="0"/>
        <v>-33</v>
      </c>
      <c r="T12" s="522">
        <f t="shared" si="1"/>
        <v>7.1000000000000227</v>
      </c>
      <c r="U12" s="151">
        <f t="shared" si="2"/>
        <v>71</v>
      </c>
      <c r="Y12" t="str">
        <f t="shared" si="3"/>
        <v/>
      </c>
      <c r="Z12" s="535" t="str">
        <f t="shared" si="4"/>
        <v/>
      </c>
      <c r="AA12" s="71" t="s">
        <v>1739</v>
      </c>
      <c r="AB12" s="535">
        <v>76</v>
      </c>
      <c r="AC12" s="535">
        <v>-7</v>
      </c>
      <c r="AD12" s="3">
        <f t="shared" si="5"/>
        <v>113.1</v>
      </c>
      <c r="AE12">
        <f t="shared" si="6"/>
        <v>-7</v>
      </c>
      <c r="AG12" s="151" t="s">
        <v>63</v>
      </c>
      <c r="AH12" s="556" t="s">
        <v>181</v>
      </c>
      <c r="AK12">
        <f>207.1-L12</f>
        <v>37.099999999999994</v>
      </c>
      <c r="AL12" s="3">
        <f t="shared" si="7"/>
        <v>127.1</v>
      </c>
      <c r="AM12" s="53"/>
      <c r="AQ12" s="73"/>
      <c r="AY12">
        <v>55</v>
      </c>
      <c r="AZ12">
        <v>27.2</v>
      </c>
      <c r="BA12">
        <v>3783.55</v>
      </c>
    </row>
    <row r="13" spans="1:68">
      <c r="A13">
        <v>241</v>
      </c>
      <c r="B13" s="51">
        <v>3789.33</v>
      </c>
      <c r="C13" s="516" t="s">
        <v>1683</v>
      </c>
      <c r="D13" s="516"/>
      <c r="E13" s="2">
        <v>0.28799999999999998</v>
      </c>
      <c r="F13" s="53">
        <v>23.2</v>
      </c>
      <c r="G13" s="151" t="s">
        <v>1757</v>
      </c>
      <c r="H13" s="516"/>
      <c r="J13" s="2">
        <v>1</v>
      </c>
      <c r="K13" s="565" t="s">
        <v>678</v>
      </c>
      <c r="L13">
        <v>295</v>
      </c>
      <c r="M13" s="3">
        <v>-25</v>
      </c>
      <c r="N13" s="151" t="s">
        <v>1681</v>
      </c>
      <c r="O13" s="521" t="s">
        <v>1731</v>
      </c>
      <c r="P13" s="151">
        <v>67</v>
      </c>
      <c r="Q13" s="151">
        <v>73</v>
      </c>
      <c r="R13" s="521">
        <f t="shared" si="8"/>
        <v>228</v>
      </c>
      <c r="S13" s="151">
        <f t="shared" si="0"/>
        <v>-25</v>
      </c>
      <c r="T13" s="522">
        <f t="shared" si="1"/>
        <v>339.1</v>
      </c>
      <c r="U13" s="151">
        <f t="shared" si="2"/>
        <v>73</v>
      </c>
      <c r="Y13" t="str">
        <f t="shared" si="3"/>
        <v/>
      </c>
      <c r="Z13" s="535" t="str">
        <f t="shared" si="4"/>
        <v/>
      </c>
      <c r="AA13" s="551" t="s">
        <v>245</v>
      </c>
      <c r="AB13">
        <v>206</v>
      </c>
      <c r="AC13">
        <v>4</v>
      </c>
      <c r="AD13" s="3">
        <f t="shared" si="5"/>
        <v>118.1</v>
      </c>
      <c r="AE13">
        <f t="shared" si="6"/>
        <v>4</v>
      </c>
      <c r="AG13" s="151" t="s">
        <v>63</v>
      </c>
      <c r="AH13" s="556" t="s">
        <v>181</v>
      </c>
      <c r="AK13">
        <f>207.1-L13</f>
        <v>-87.9</v>
      </c>
      <c r="AL13" s="3">
        <f t="shared" si="7"/>
        <v>2.0999999999999943</v>
      </c>
      <c r="AM13" s="53"/>
      <c r="AQ13" s="73"/>
      <c r="AY13">
        <v>60</v>
      </c>
      <c r="AZ13">
        <v>27.2</v>
      </c>
      <c r="BA13">
        <v>3783.6</v>
      </c>
    </row>
    <row r="14" spans="1:68">
      <c r="A14" s="578">
        <v>243</v>
      </c>
      <c r="B14" s="51">
        <v>3789.95</v>
      </c>
      <c r="C14" s="516" t="s">
        <v>1683</v>
      </c>
      <c r="D14" s="516"/>
      <c r="E14" s="2">
        <v>0.26100000000000001</v>
      </c>
      <c r="F14" s="53">
        <v>24.7</v>
      </c>
      <c r="G14" s="151" t="s">
        <v>1758</v>
      </c>
      <c r="H14" s="516"/>
      <c r="J14" s="2">
        <v>1.4</v>
      </c>
      <c r="K14" s="151" t="s">
        <v>1759</v>
      </c>
      <c r="L14">
        <v>279</v>
      </c>
      <c r="M14" s="3">
        <v>-23</v>
      </c>
      <c r="N14" s="151" t="s">
        <v>1681</v>
      </c>
      <c r="O14" s="521" t="s">
        <v>133</v>
      </c>
      <c r="P14" s="151">
        <v>97</v>
      </c>
      <c r="Q14" s="151">
        <v>76</v>
      </c>
      <c r="R14" s="521">
        <f t="shared" si="8"/>
        <v>182</v>
      </c>
      <c r="S14" s="151">
        <f t="shared" si="0"/>
        <v>-23</v>
      </c>
      <c r="T14" s="522">
        <f t="shared" si="1"/>
        <v>25.099999999999994</v>
      </c>
      <c r="U14" s="151">
        <f t="shared" si="2"/>
        <v>76</v>
      </c>
      <c r="Y14" t="str">
        <f t="shared" si="3"/>
        <v/>
      </c>
      <c r="Z14" s="535" t="str">
        <f t="shared" si="4"/>
        <v/>
      </c>
      <c r="AA14" s="551" t="s">
        <v>1760</v>
      </c>
      <c r="AB14">
        <v>53</v>
      </c>
      <c r="AC14">
        <v>-59</v>
      </c>
      <c r="AD14" s="3">
        <f t="shared" si="5"/>
        <v>341.1</v>
      </c>
      <c r="AE14">
        <f t="shared" si="6"/>
        <v>-59</v>
      </c>
      <c r="AG14" s="151" t="s">
        <v>63</v>
      </c>
      <c r="AH14" s="556" t="s">
        <v>181</v>
      </c>
      <c r="AK14">
        <f>207.1-L14</f>
        <v>-71.900000000000006</v>
      </c>
      <c r="AL14" s="3">
        <f t="shared" si="7"/>
        <v>18.099999999999994</v>
      </c>
      <c r="AM14" s="53"/>
      <c r="AQ14" s="73"/>
      <c r="AY14">
        <v>65</v>
      </c>
      <c r="AZ14">
        <v>26.1</v>
      </c>
      <c r="BA14">
        <v>3783.65</v>
      </c>
    </row>
    <row r="15" spans="1:68">
      <c r="A15" s="578">
        <v>244</v>
      </c>
      <c r="B15" s="558">
        <v>3790.06</v>
      </c>
      <c r="C15" s="559" t="s">
        <v>1761</v>
      </c>
      <c r="D15" s="559"/>
      <c r="E15" s="2">
        <v>0.22600000000000001</v>
      </c>
      <c r="F15" s="53">
        <v>25.7</v>
      </c>
      <c r="G15" s="151" t="s">
        <v>1762</v>
      </c>
      <c r="H15" s="516"/>
      <c r="J15" s="2">
        <v>2</v>
      </c>
      <c r="K15" s="151" t="s">
        <v>1763</v>
      </c>
      <c r="L15">
        <v>304</v>
      </c>
      <c r="M15" s="3">
        <v>-35</v>
      </c>
      <c r="N15" s="151" t="s">
        <v>1764</v>
      </c>
      <c r="O15" s="521" t="s">
        <v>1283</v>
      </c>
      <c r="P15" s="151">
        <v>76</v>
      </c>
      <c r="Q15" s="151">
        <v>73</v>
      </c>
      <c r="R15" s="521">
        <f>IF(L15-AVERAGE(P$15:P$17) &lt;0, L15-AVERAGE(P$15:P$17) +360, L15-AVERAGE(P$15:P$17) )</f>
        <v>227</v>
      </c>
      <c r="S15" s="151">
        <f t="shared" si="0"/>
        <v>-35</v>
      </c>
      <c r="T15" s="522">
        <f t="shared" si="1"/>
        <v>337.6</v>
      </c>
      <c r="U15" s="151">
        <f t="shared" si="2"/>
        <v>73</v>
      </c>
      <c r="Y15" t="str">
        <f t="shared" si="3"/>
        <v/>
      </c>
      <c r="Z15" s="535" t="str">
        <f t="shared" si="4"/>
        <v/>
      </c>
      <c r="AA15" s="2" t="s">
        <v>1765</v>
      </c>
      <c r="AB15">
        <v>225</v>
      </c>
      <c r="AC15">
        <v>15</v>
      </c>
      <c r="AD15" s="3">
        <f t="shared" si="5"/>
        <v>126.6</v>
      </c>
      <c r="AE15">
        <f t="shared" si="6"/>
        <v>15</v>
      </c>
      <c r="AG15" s="151" t="s">
        <v>63</v>
      </c>
      <c r="AH15" s="556" t="s">
        <v>181</v>
      </c>
      <c r="AK15" s="500">
        <f>207.1-((L$15+L$17)/2)</f>
        <v>-98.4</v>
      </c>
      <c r="AL15" s="3">
        <f t="shared" si="7"/>
        <v>351.6</v>
      </c>
      <c r="AM15" s="53"/>
      <c r="AQ15" s="73"/>
      <c r="AY15">
        <v>70</v>
      </c>
      <c r="AZ15">
        <v>26.1</v>
      </c>
      <c r="BA15">
        <v>3783.7</v>
      </c>
    </row>
    <row r="16" spans="1:68" ht="15.75" thickBot="1">
      <c r="A16" s="578">
        <v>245</v>
      </c>
      <c r="B16" s="558">
        <v>3790.23</v>
      </c>
      <c r="C16" s="559" t="s">
        <v>1766</v>
      </c>
      <c r="D16" s="559"/>
      <c r="E16" s="2">
        <v>0.63300000000000001</v>
      </c>
      <c r="F16">
        <v>28</v>
      </c>
      <c r="G16" s="553" t="s">
        <v>1767</v>
      </c>
      <c r="H16" s="516" t="s">
        <v>137</v>
      </c>
      <c r="J16" s="2">
        <v>1.2</v>
      </c>
      <c r="K16" s="151" t="s">
        <v>1735</v>
      </c>
      <c r="L16">
        <v>264</v>
      </c>
      <c r="M16" s="3">
        <v>-52</v>
      </c>
      <c r="N16" s="151" t="s">
        <v>1768</v>
      </c>
      <c r="O16" s="521" t="s">
        <v>1769</v>
      </c>
      <c r="P16" s="151">
        <v>64</v>
      </c>
      <c r="Q16" s="151">
        <v>87</v>
      </c>
      <c r="R16" s="521">
        <f>IF(L16-AVERAGE(P$15:P$17) &lt;0, L16-AVERAGE(P$15:P$17) +360, L16-AVERAGE(P$15:P$17) )</f>
        <v>187</v>
      </c>
      <c r="S16" s="535">
        <f t="shared" si="0"/>
        <v>-52</v>
      </c>
      <c r="T16" s="522">
        <f t="shared" si="1"/>
        <v>325.60000000000002</v>
      </c>
      <c r="U16" s="151">
        <f t="shared" si="2"/>
        <v>87</v>
      </c>
      <c r="V16" s="521" t="s">
        <v>1627</v>
      </c>
      <c r="W16">
        <v>103</v>
      </c>
      <c r="X16">
        <v>-68</v>
      </c>
      <c r="Y16">
        <f t="shared" si="3"/>
        <v>4.5999999999999943</v>
      </c>
      <c r="Z16" s="535">
        <f t="shared" si="4"/>
        <v>-68</v>
      </c>
      <c r="AA16" s="554" t="s">
        <v>1574</v>
      </c>
      <c r="AB16" s="7">
        <v>357</v>
      </c>
      <c r="AC16" s="7">
        <v>2</v>
      </c>
      <c r="AD16" s="3">
        <f t="shared" si="5"/>
        <v>258.60000000000002</v>
      </c>
      <c r="AE16">
        <f t="shared" si="6"/>
        <v>2</v>
      </c>
      <c r="AF16" s="516"/>
      <c r="AG16" s="516" t="s">
        <v>113</v>
      </c>
      <c r="AH16" s="562" t="s">
        <v>88</v>
      </c>
      <c r="AK16" s="500">
        <f>207.1-((L$15+L$17)/2)</f>
        <v>-98.4</v>
      </c>
      <c r="AL16" s="3">
        <f t="shared" si="7"/>
        <v>351.6</v>
      </c>
      <c r="AM16" s="38">
        <v>53.8</v>
      </c>
      <c r="AQ16" s="73"/>
      <c r="AY16">
        <v>75</v>
      </c>
      <c r="AZ16">
        <v>26.1</v>
      </c>
      <c r="BA16">
        <v>3783.75</v>
      </c>
    </row>
    <row r="17" spans="1:59">
      <c r="A17" s="578">
        <v>246</v>
      </c>
      <c r="B17" s="558">
        <v>3790.49</v>
      </c>
      <c r="C17" s="559" t="s">
        <v>1761</v>
      </c>
      <c r="D17" s="559"/>
      <c r="E17" s="2">
        <v>0.23899999999999999</v>
      </c>
      <c r="F17">
        <v>25.1</v>
      </c>
      <c r="G17" s="151" t="s">
        <v>1770</v>
      </c>
      <c r="H17" s="516"/>
      <c r="J17" s="2">
        <v>1.2</v>
      </c>
      <c r="K17" s="565" t="s">
        <v>1580</v>
      </c>
      <c r="L17">
        <v>307</v>
      </c>
      <c r="M17" s="3">
        <v>-29</v>
      </c>
      <c r="N17" s="151" t="s">
        <v>1771</v>
      </c>
      <c r="O17" s="521" t="s">
        <v>133</v>
      </c>
      <c r="P17" s="151">
        <v>91</v>
      </c>
      <c r="Q17" s="151">
        <v>79</v>
      </c>
      <c r="R17" s="521">
        <f>IF(L17-AVERAGE(P$15:P$17) &lt;0, L17-AVERAGE(P$15:P$17) +360, L17-AVERAGE(P$15:P$17) )</f>
        <v>230</v>
      </c>
      <c r="S17" s="151">
        <f t="shared" si="0"/>
        <v>-29</v>
      </c>
      <c r="T17" s="522">
        <f t="shared" si="1"/>
        <v>352.6</v>
      </c>
      <c r="U17" s="151">
        <f t="shared" si="2"/>
        <v>79</v>
      </c>
      <c r="Y17" t="str">
        <f t="shared" si="3"/>
        <v/>
      </c>
      <c r="Z17" s="535" t="str">
        <f t="shared" si="4"/>
        <v/>
      </c>
      <c r="AA17" s="551" t="s">
        <v>1267</v>
      </c>
      <c r="AB17">
        <v>173</v>
      </c>
      <c r="AC17">
        <v>-52</v>
      </c>
      <c r="AD17" s="3">
        <f t="shared" si="5"/>
        <v>74.599999999999994</v>
      </c>
      <c r="AE17">
        <f t="shared" si="6"/>
        <v>-52</v>
      </c>
      <c r="AG17" s="151" t="s">
        <v>63</v>
      </c>
      <c r="AH17" s="556" t="s">
        <v>181</v>
      </c>
      <c r="AK17" s="500">
        <f>207.1-((L$15+L$17)/2)</f>
        <v>-98.4</v>
      </c>
      <c r="AL17" s="3">
        <f t="shared" si="7"/>
        <v>351.6</v>
      </c>
      <c r="AM17" s="53"/>
      <c r="AN17" s="53"/>
      <c r="AO17" s="53"/>
      <c r="AP17" s="53"/>
      <c r="AQ17" s="53"/>
      <c r="AY17">
        <v>80</v>
      </c>
      <c r="AZ17">
        <v>25.1</v>
      </c>
      <c r="BA17">
        <v>3783.8</v>
      </c>
    </row>
    <row r="18" spans="1:59">
      <c r="A18" s="578">
        <v>248</v>
      </c>
      <c r="B18" s="51">
        <v>3791.08</v>
      </c>
      <c r="C18" s="516" t="s">
        <v>1683</v>
      </c>
      <c r="D18" s="516"/>
      <c r="E18" s="2">
        <v>0.21299999999999999</v>
      </c>
      <c r="F18" s="53">
        <v>25.2</v>
      </c>
      <c r="G18" s="151" t="s">
        <v>1772</v>
      </c>
      <c r="H18" s="516"/>
      <c r="J18" s="2">
        <v>2</v>
      </c>
      <c r="K18" s="565" t="s">
        <v>654</v>
      </c>
      <c r="L18">
        <v>275</v>
      </c>
      <c r="M18" s="3">
        <v>-26</v>
      </c>
      <c r="N18" s="151" t="s">
        <v>1773</v>
      </c>
      <c r="O18" s="521" t="s">
        <v>524</v>
      </c>
      <c r="P18" s="151">
        <v>46</v>
      </c>
      <c r="Q18" s="151">
        <v>76</v>
      </c>
      <c r="R18" s="521">
        <f>IF(L18-P18 &lt;0, L18-P18+360, L18-P18)</f>
        <v>229</v>
      </c>
      <c r="S18" s="151">
        <f t="shared" si="0"/>
        <v>-26</v>
      </c>
      <c r="T18" s="522">
        <f t="shared" si="1"/>
        <v>338.1</v>
      </c>
      <c r="U18" s="151">
        <f t="shared" si="2"/>
        <v>76</v>
      </c>
      <c r="Y18" t="str">
        <f t="shared" si="3"/>
        <v/>
      </c>
      <c r="Z18" s="535" t="str">
        <f t="shared" si="4"/>
        <v/>
      </c>
      <c r="AA18" s="551" t="s">
        <v>371</v>
      </c>
      <c r="AB18">
        <v>338</v>
      </c>
      <c r="AC18">
        <v>49</v>
      </c>
      <c r="AD18" s="3">
        <f t="shared" si="5"/>
        <v>270.10000000000002</v>
      </c>
      <c r="AE18">
        <f t="shared" si="6"/>
        <v>49</v>
      </c>
      <c r="AG18" s="151" t="s">
        <v>63</v>
      </c>
      <c r="AH18" s="556" t="s">
        <v>181</v>
      </c>
      <c r="AK18">
        <f>207.1-L18</f>
        <v>-67.900000000000006</v>
      </c>
      <c r="AL18" s="3">
        <f t="shared" si="7"/>
        <v>22.099999999999994</v>
      </c>
      <c r="AM18" s="53"/>
      <c r="AN18" s="53"/>
      <c r="AO18" s="53"/>
      <c r="AP18" s="53"/>
      <c r="AQ18" s="53"/>
      <c r="AY18">
        <v>85</v>
      </c>
      <c r="AZ18">
        <v>25.1</v>
      </c>
      <c r="BA18">
        <v>3783.85</v>
      </c>
    </row>
    <row r="19" spans="1:59">
      <c r="A19" s="578">
        <v>249</v>
      </c>
      <c r="B19" s="51">
        <v>3791.4</v>
      </c>
      <c r="C19" s="516" t="s">
        <v>1726</v>
      </c>
      <c r="D19" s="516"/>
      <c r="E19" s="2">
        <v>0.26900000000000002</v>
      </c>
      <c r="F19" s="53">
        <v>25.4</v>
      </c>
      <c r="G19" s="151" t="s">
        <v>1774</v>
      </c>
      <c r="H19" s="516"/>
      <c r="J19" s="2">
        <v>1.2</v>
      </c>
      <c r="K19" s="565" t="s">
        <v>1734</v>
      </c>
      <c r="L19">
        <v>286</v>
      </c>
      <c r="M19" s="3">
        <v>-22</v>
      </c>
      <c r="N19" s="151" t="s">
        <v>1775</v>
      </c>
      <c r="O19" s="521" t="s">
        <v>133</v>
      </c>
      <c r="P19" s="151">
        <v>52</v>
      </c>
      <c r="Q19" s="151">
        <v>70</v>
      </c>
      <c r="R19" s="521">
        <f>IF(L19-P19 &lt;0, L19-P19+360, L19-P19)</f>
        <v>234</v>
      </c>
      <c r="S19" s="151">
        <f t="shared" si="0"/>
        <v>-22</v>
      </c>
      <c r="T19" s="522">
        <f t="shared" si="1"/>
        <v>333.1</v>
      </c>
      <c r="U19" s="151">
        <f t="shared" si="2"/>
        <v>70</v>
      </c>
      <c r="Y19" t="str">
        <f t="shared" si="3"/>
        <v/>
      </c>
      <c r="Z19" s="535" t="str">
        <f t="shared" si="4"/>
        <v/>
      </c>
      <c r="AA19" s="551" t="s">
        <v>1267</v>
      </c>
      <c r="AB19">
        <v>251</v>
      </c>
      <c r="AC19">
        <v>62</v>
      </c>
      <c r="AD19" s="3">
        <f t="shared" si="5"/>
        <v>172.1</v>
      </c>
      <c r="AE19">
        <f t="shared" si="6"/>
        <v>62</v>
      </c>
      <c r="AF19" s="151" t="s">
        <v>106</v>
      </c>
      <c r="AG19" s="151" t="s">
        <v>105</v>
      </c>
      <c r="AH19" s="555" t="s">
        <v>88</v>
      </c>
      <c r="AK19">
        <f>207.1-L19</f>
        <v>-78.900000000000006</v>
      </c>
      <c r="AL19" s="3">
        <f t="shared" si="7"/>
        <v>11.099999999999994</v>
      </c>
      <c r="AM19" s="53"/>
      <c r="AN19" s="73">
        <v>55.4</v>
      </c>
      <c r="AO19" s="73">
        <v>13.4</v>
      </c>
      <c r="AP19" s="73">
        <v>52.6</v>
      </c>
      <c r="AQ19" s="73"/>
      <c r="AY19">
        <v>90</v>
      </c>
      <c r="AZ19">
        <v>26</v>
      </c>
      <c r="BA19">
        <v>3783.9</v>
      </c>
    </row>
    <row r="20" spans="1:59">
      <c r="A20" s="578">
        <v>251</v>
      </c>
      <c r="B20" s="51">
        <v>3791.85</v>
      </c>
      <c r="C20" s="516" t="s">
        <v>1683</v>
      </c>
      <c r="D20" s="516"/>
      <c r="E20" s="2">
        <v>0.32400000000000001</v>
      </c>
      <c r="F20" s="53">
        <v>24.7</v>
      </c>
      <c r="G20" s="151" t="s">
        <v>1758</v>
      </c>
      <c r="H20" s="516"/>
      <c r="J20" s="2">
        <v>1.2</v>
      </c>
      <c r="K20" s="565" t="s">
        <v>678</v>
      </c>
      <c r="L20">
        <v>93</v>
      </c>
      <c r="M20" s="3">
        <v>-17</v>
      </c>
      <c r="N20" s="151" t="s">
        <v>1681</v>
      </c>
      <c r="O20" s="521" t="s">
        <v>133</v>
      </c>
      <c r="P20" s="151">
        <v>252</v>
      </c>
      <c r="Q20" s="151">
        <v>76</v>
      </c>
      <c r="R20" s="521">
        <f>IF(L20-P20 &lt;0, L20-P20+360, L20-P20)</f>
        <v>201</v>
      </c>
      <c r="S20" s="151">
        <f t="shared" si="0"/>
        <v>-17</v>
      </c>
      <c r="T20" s="522">
        <f t="shared" si="1"/>
        <v>6.1000000000000227</v>
      </c>
      <c r="U20" s="151">
        <f t="shared" si="2"/>
        <v>76</v>
      </c>
      <c r="Y20" t="str">
        <f t="shared" si="3"/>
        <v/>
      </c>
      <c r="Z20" s="535" t="str">
        <f t="shared" si="4"/>
        <v/>
      </c>
      <c r="AA20" s="551" t="s">
        <v>1776</v>
      </c>
      <c r="AB20">
        <v>339</v>
      </c>
      <c r="AC20">
        <v>-53</v>
      </c>
      <c r="AD20" s="3">
        <f t="shared" si="5"/>
        <v>93.100000000000023</v>
      </c>
      <c r="AE20">
        <f t="shared" si="6"/>
        <v>-53</v>
      </c>
      <c r="AG20" s="151" t="s">
        <v>63</v>
      </c>
      <c r="AH20" s="556" t="s">
        <v>181</v>
      </c>
      <c r="AK20">
        <f>207.1-L20</f>
        <v>114.1</v>
      </c>
      <c r="AL20" s="3">
        <f t="shared" si="7"/>
        <v>204.1</v>
      </c>
      <c r="AM20" s="53"/>
      <c r="AN20" s="53"/>
      <c r="AO20" s="53"/>
      <c r="AP20" s="53"/>
      <c r="AQ20" s="53"/>
      <c r="AY20">
        <v>95</v>
      </c>
      <c r="AZ20">
        <v>25</v>
      </c>
      <c r="BA20">
        <v>3783.95</v>
      </c>
    </row>
    <row r="21" spans="1:59">
      <c r="A21" s="578">
        <v>252</v>
      </c>
      <c r="B21" s="51">
        <v>3791.98</v>
      </c>
      <c r="C21" s="516" t="s">
        <v>1726</v>
      </c>
      <c r="D21" s="516"/>
      <c r="E21" s="2">
        <v>0.35799999999999998</v>
      </c>
      <c r="F21" s="53">
        <v>25.4</v>
      </c>
      <c r="G21" s="151" t="s">
        <v>1772</v>
      </c>
      <c r="H21" s="516"/>
      <c r="J21" s="2">
        <v>4</v>
      </c>
      <c r="K21" s="561" t="s">
        <v>654</v>
      </c>
      <c r="L21">
        <v>278</v>
      </c>
      <c r="M21" s="3">
        <v>-32</v>
      </c>
      <c r="O21" s="521" t="s">
        <v>720</v>
      </c>
      <c r="P21" s="151">
        <v>24</v>
      </c>
      <c r="Q21" s="151">
        <v>76</v>
      </c>
      <c r="R21" s="521">
        <f>IF(L21-P21 &lt;0, L21-P21+360, L21-P21)</f>
        <v>254</v>
      </c>
      <c r="S21" s="151">
        <f t="shared" si="0"/>
        <v>-32</v>
      </c>
      <c r="T21" s="522">
        <f t="shared" si="1"/>
        <v>313.10000000000002</v>
      </c>
      <c r="U21" s="151">
        <f t="shared" si="2"/>
        <v>76</v>
      </c>
      <c r="Y21" t="str">
        <f t="shared" si="3"/>
        <v/>
      </c>
      <c r="Z21" s="535" t="str">
        <f t="shared" si="4"/>
        <v/>
      </c>
      <c r="AA21" s="551" t="s">
        <v>654</v>
      </c>
      <c r="AB21">
        <v>118</v>
      </c>
      <c r="AC21">
        <v>-56</v>
      </c>
      <c r="AD21" s="3">
        <f t="shared" si="5"/>
        <v>47.099999999999994</v>
      </c>
      <c r="AE21">
        <f t="shared" si="6"/>
        <v>-56</v>
      </c>
      <c r="AG21" s="151" t="s">
        <v>63</v>
      </c>
      <c r="AH21" s="556" t="s">
        <v>181</v>
      </c>
      <c r="AK21">
        <f>207.1-L21</f>
        <v>-70.900000000000006</v>
      </c>
      <c r="AL21" s="3">
        <f t="shared" si="7"/>
        <v>19.099999999999994</v>
      </c>
      <c r="AM21" s="53"/>
      <c r="AN21" s="53"/>
      <c r="AO21" s="53"/>
      <c r="AP21" s="53"/>
      <c r="AQ21" s="53"/>
      <c r="BA21">
        <v>3784</v>
      </c>
    </row>
    <row r="22" spans="1:59">
      <c r="A22" s="578">
        <v>254</v>
      </c>
      <c r="B22" s="51">
        <v>3792.35</v>
      </c>
      <c r="C22" s="516" t="s">
        <v>1683</v>
      </c>
      <c r="D22" s="516"/>
      <c r="E22" s="2">
        <v>0.30599999999999999</v>
      </c>
      <c r="F22" s="53">
        <v>26.5</v>
      </c>
      <c r="G22" s="151" t="s">
        <v>1777</v>
      </c>
      <c r="H22" s="516"/>
      <c r="J22" s="2">
        <v>2</v>
      </c>
      <c r="K22" s="561" t="s">
        <v>1580</v>
      </c>
      <c r="L22">
        <v>297</v>
      </c>
      <c r="M22" s="3">
        <v>-28</v>
      </c>
      <c r="N22" s="151" t="s">
        <v>402</v>
      </c>
      <c r="O22" s="521" t="s">
        <v>1778</v>
      </c>
      <c r="P22" s="151">
        <v>9</v>
      </c>
      <c r="Q22" s="151">
        <v>82</v>
      </c>
      <c r="R22" s="521">
        <f>IF(L22-P22 &lt;0, L22-P22+360, L22-P22)</f>
        <v>288</v>
      </c>
      <c r="S22" s="151">
        <f t="shared" si="0"/>
        <v>-28</v>
      </c>
      <c r="T22" s="522">
        <f t="shared" si="1"/>
        <v>279.10000000000002</v>
      </c>
      <c r="U22" s="151">
        <f t="shared" si="2"/>
        <v>82</v>
      </c>
      <c r="Y22" t="str">
        <f t="shared" si="3"/>
        <v/>
      </c>
      <c r="Z22" s="535" t="str">
        <f t="shared" si="4"/>
        <v/>
      </c>
      <c r="AA22" s="551" t="s">
        <v>654</v>
      </c>
      <c r="AB22">
        <v>52</v>
      </c>
      <c r="AC22">
        <v>-34</v>
      </c>
      <c r="AD22" s="3">
        <f t="shared" si="5"/>
        <v>322.10000000000002</v>
      </c>
      <c r="AE22">
        <f t="shared" si="6"/>
        <v>-34</v>
      </c>
      <c r="AG22" s="151" t="s">
        <v>63</v>
      </c>
      <c r="AH22" s="556" t="s">
        <v>181</v>
      </c>
      <c r="AK22">
        <f>207.1-L22</f>
        <v>-89.9</v>
      </c>
      <c r="AL22" s="3">
        <f t="shared" si="7"/>
        <v>9.9999999999994316E-2</v>
      </c>
      <c r="AM22" s="53"/>
      <c r="AN22" s="53"/>
      <c r="AO22" s="53"/>
      <c r="AP22" s="53"/>
      <c r="AQ22" s="53"/>
      <c r="BA22">
        <v>3784.05</v>
      </c>
    </row>
    <row r="23" spans="1:59">
      <c r="A23" s="578">
        <v>255</v>
      </c>
      <c r="B23" s="558">
        <v>3792.55</v>
      </c>
      <c r="C23" s="559" t="s">
        <v>1779</v>
      </c>
      <c r="D23" s="559"/>
      <c r="E23" s="2">
        <v>0.30199999999999999</v>
      </c>
      <c r="F23" s="53">
        <v>25</v>
      </c>
      <c r="G23" s="151" t="s">
        <v>1780</v>
      </c>
      <c r="H23" s="516"/>
      <c r="J23" s="2">
        <v>1.2</v>
      </c>
      <c r="K23" s="561" t="s">
        <v>1781</v>
      </c>
      <c r="L23">
        <v>273</v>
      </c>
      <c r="M23" s="3">
        <v>-15</v>
      </c>
      <c r="N23" s="151" t="s">
        <v>1681</v>
      </c>
      <c r="O23" s="521" t="s">
        <v>133</v>
      </c>
      <c r="P23" s="151">
        <v>65</v>
      </c>
      <c r="Q23" s="151">
        <v>79</v>
      </c>
      <c r="R23" s="521">
        <f>IF(L23-AVERAGE(P$23:P$24) &lt;0, L23-AVERAGE(P$23:P$24) +360, L23-AVERAGE(P$23:P$24) )</f>
        <v>215</v>
      </c>
      <c r="S23" s="151">
        <f t="shared" si="0"/>
        <v>-15</v>
      </c>
      <c r="T23" s="522">
        <f t="shared" si="1"/>
        <v>355.6</v>
      </c>
      <c r="U23" s="151">
        <f t="shared" si="2"/>
        <v>79</v>
      </c>
      <c r="Y23" t="str">
        <f t="shared" si="3"/>
        <v/>
      </c>
      <c r="Z23" s="535" t="str">
        <f t="shared" si="4"/>
        <v/>
      </c>
      <c r="AA23" s="551" t="s">
        <v>1776</v>
      </c>
      <c r="AB23">
        <v>166</v>
      </c>
      <c r="AC23">
        <v>-55</v>
      </c>
      <c r="AD23" s="3">
        <f t="shared" si="5"/>
        <v>96.6</v>
      </c>
      <c r="AE23">
        <f t="shared" si="6"/>
        <v>-55</v>
      </c>
      <c r="AF23" s="151" t="s">
        <v>106</v>
      </c>
      <c r="AG23" s="151" t="s">
        <v>105</v>
      </c>
      <c r="AH23" s="555" t="s">
        <v>1738</v>
      </c>
      <c r="AK23" s="500">
        <f>207.1-AVERAGE(L$23:L$24)</f>
        <v>-69.400000000000006</v>
      </c>
      <c r="AL23" s="3">
        <f t="shared" si="7"/>
        <v>20.599999999999994</v>
      </c>
      <c r="AM23" s="53"/>
      <c r="AN23" s="73">
        <v>1.1000000000000001</v>
      </c>
      <c r="AO23" s="73">
        <v>-4.2</v>
      </c>
      <c r="AP23" s="73">
        <v>56.6</v>
      </c>
      <c r="AQ23" s="73"/>
      <c r="BA23">
        <v>3784.1000000000004</v>
      </c>
    </row>
    <row r="24" spans="1:59">
      <c r="A24" s="578">
        <v>256</v>
      </c>
      <c r="B24" s="558">
        <v>3792.75</v>
      </c>
      <c r="C24" s="559" t="s">
        <v>1779</v>
      </c>
      <c r="D24" s="559"/>
      <c r="E24" s="2">
        <v>0.26600000000000001</v>
      </c>
      <c r="F24" s="53">
        <v>24.2</v>
      </c>
      <c r="G24" s="151" t="s">
        <v>1782</v>
      </c>
      <c r="H24" s="516"/>
      <c r="I24" s="151" t="s">
        <v>69</v>
      </c>
      <c r="J24" s="2">
        <v>3</v>
      </c>
      <c r="K24" s="565" t="s">
        <v>1274</v>
      </c>
      <c r="L24">
        <v>280</v>
      </c>
      <c r="M24" s="3">
        <v>-5</v>
      </c>
      <c r="N24" s="151" t="s">
        <v>1783</v>
      </c>
      <c r="O24" s="521" t="s">
        <v>720</v>
      </c>
      <c r="P24" s="151">
        <v>51</v>
      </c>
      <c r="Q24" s="151">
        <v>72</v>
      </c>
      <c r="R24" s="521">
        <f>IF(L24-AVERAGE(P$23:P$24) &lt;0, L24-AVERAGE(P$23:P$24) +360, L24-AVERAGE(P$23:P$24) )</f>
        <v>222</v>
      </c>
      <c r="S24" s="151">
        <f t="shared" si="0"/>
        <v>-5</v>
      </c>
      <c r="T24" s="522">
        <f t="shared" si="1"/>
        <v>341.6</v>
      </c>
      <c r="U24" s="151">
        <f t="shared" si="2"/>
        <v>72</v>
      </c>
      <c r="Y24" t="str">
        <f t="shared" si="3"/>
        <v/>
      </c>
      <c r="Z24" s="535" t="str">
        <f t="shared" si="4"/>
        <v/>
      </c>
      <c r="AA24" s="551" t="s">
        <v>341</v>
      </c>
      <c r="AB24">
        <v>206</v>
      </c>
      <c r="AC24">
        <v>11</v>
      </c>
      <c r="AD24" s="3">
        <f t="shared" si="5"/>
        <v>136.6</v>
      </c>
      <c r="AE24">
        <f t="shared" si="6"/>
        <v>11</v>
      </c>
      <c r="AF24" s="151" t="s">
        <v>66</v>
      </c>
      <c r="AG24" s="151" t="s">
        <v>105</v>
      </c>
      <c r="AH24" s="556" t="s">
        <v>107</v>
      </c>
      <c r="AK24" s="500">
        <f>207.1-AVERAGE(L$23:L$24)</f>
        <v>-69.400000000000006</v>
      </c>
      <c r="AL24" s="3">
        <f t="shared" si="7"/>
        <v>20.599999999999994</v>
      </c>
      <c r="AM24" s="53"/>
      <c r="AN24" s="73">
        <v>54.8</v>
      </c>
      <c r="AO24" s="73">
        <v>-34.799999999999997</v>
      </c>
      <c r="AP24" s="73">
        <v>66.3</v>
      </c>
      <c r="AQ24" s="73"/>
      <c r="BA24">
        <v>3784.1500000000005</v>
      </c>
      <c r="BG24" s="151"/>
    </row>
    <row r="25" spans="1:59" s="38" customFormat="1" ht="15.75" thickBot="1">
      <c r="A25" s="38">
        <v>258</v>
      </c>
      <c r="B25" s="157">
        <v>3793.05</v>
      </c>
      <c r="C25" s="566" t="s">
        <v>1726</v>
      </c>
      <c r="D25" s="566"/>
      <c r="E25" s="506">
        <v>0.127</v>
      </c>
      <c r="F25" s="217">
        <v>16.399999999999999</v>
      </c>
      <c r="G25" s="579" t="s">
        <v>1784</v>
      </c>
      <c r="H25" s="566" t="s">
        <v>137</v>
      </c>
      <c r="I25" s="568" t="s">
        <v>1729</v>
      </c>
      <c r="J25" s="506">
        <v>2.5</v>
      </c>
      <c r="K25" s="580" t="s">
        <v>408</v>
      </c>
      <c r="L25" s="581">
        <v>102</v>
      </c>
      <c r="M25" s="582">
        <v>4</v>
      </c>
      <c r="N25" s="568" t="s">
        <v>1685</v>
      </c>
      <c r="O25" s="506" t="s">
        <v>133</v>
      </c>
      <c r="P25" s="568">
        <v>271</v>
      </c>
      <c r="Q25" s="568">
        <v>85</v>
      </c>
      <c r="R25" s="569">
        <f>IF(L25-P25 &lt;0, L25-P25+360, L25-P25)</f>
        <v>191</v>
      </c>
      <c r="S25" s="568">
        <f t="shared" si="0"/>
        <v>4</v>
      </c>
      <c r="T25" s="570">
        <f t="shared" si="1"/>
        <v>16.100000000000023</v>
      </c>
      <c r="U25" s="568">
        <f t="shared" si="2"/>
        <v>85</v>
      </c>
      <c r="V25" s="571" t="s">
        <v>371</v>
      </c>
      <c r="W25" s="566">
        <v>317</v>
      </c>
      <c r="X25" s="566">
        <v>-44</v>
      </c>
      <c r="Y25" s="38">
        <f t="shared" si="3"/>
        <v>62.100000000000023</v>
      </c>
      <c r="Z25" s="566">
        <f t="shared" si="4"/>
        <v>-44</v>
      </c>
      <c r="AA25" s="571" t="s">
        <v>341</v>
      </c>
      <c r="AB25" s="566">
        <v>157</v>
      </c>
      <c r="AC25" s="566">
        <v>-13</v>
      </c>
      <c r="AD25" s="509">
        <f t="shared" si="5"/>
        <v>262.10000000000002</v>
      </c>
      <c r="AE25" s="38">
        <f t="shared" si="6"/>
        <v>-13</v>
      </c>
      <c r="AF25" s="568"/>
      <c r="AG25" s="38" t="s">
        <v>113</v>
      </c>
      <c r="AH25" s="576" t="s">
        <v>67</v>
      </c>
      <c r="AI25" s="568" t="s">
        <v>1785</v>
      </c>
      <c r="AK25" s="38">
        <f>207.1-L25</f>
        <v>105.1</v>
      </c>
      <c r="AL25" s="509">
        <f t="shared" si="7"/>
        <v>195.1</v>
      </c>
      <c r="AM25">
        <v>59.8</v>
      </c>
      <c r="AN25" s="53"/>
      <c r="AO25" s="53"/>
      <c r="AP25" s="53"/>
      <c r="AQ25" s="53"/>
      <c r="AX25"/>
      <c r="AY25"/>
      <c r="AZ25"/>
      <c r="BA25">
        <v>3784.2000000000007</v>
      </c>
      <c r="BG25" s="568"/>
    </row>
    <row r="26" spans="1:59">
      <c r="A26">
        <v>260</v>
      </c>
      <c r="B26" s="51">
        <v>3793.33</v>
      </c>
      <c r="C26" s="516" t="s">
        <v>1683</v>
      </c>
      <c r="D26" s="516"/>
      <c r="E26" s="2">
        <v>1.2490000000000001</v>
      </c>
      <c r="F26" s="53">
        <v>10.1</v>
      </c>
      <c r="G26" s="583" t="s">
        <v>1786</v>
      </c>
      <c r="H26" s="516" t="s">
        <v>137</v>
      </c>
      <c r="I26" s="151"/>
      <c r="J26" s="2">
        <v>1</v>
      </c>
      <c r="K26" s="565" t="s">
        <v>1735</v>
      </c>
      <c r="L26">
        <v>245</v>
      </c>
      <c r="M26" s="3">
        <v>-32</v>
      </c>
      <c r="N26" s="516" t="s">
        <v>1787</v>
      </c>
      <c r="O26" s="554" t="s">
        <v>1731</v>
      </c>
      <c r="P26" s="535">
        <v>297</v>
      </c>
      <c r="Q26" s="535">
        <v>83</v>
      </c>
      <c r="R26" s="521">
        <f>IF(L26-P26 &lt;0, L26-P26+360, L26-P26)</f>
        <v>308</v>
      </c>
      <c r="S26" s="151">
        <f t="shared" si="0"/>
        <v>-32</v>
      </c>
      <c r="T26" s="522">
        <f t="shared" si="1"/>
        <v>259.10000000000002</v>
      </c>
      <c r="U26" s="151">
        <f t="shared" si="2"/>
        <v>83</v>
      </c>
      <c r="V26" s="71"/>
      <c r="W26" s="7"/>
      <c r="X26" s="7"/>
      <c r="Y26" t="str">
        <f t="shared" si="3"/>
        <v/>
      </c>
      <c r="Z26" s="535" t="str">
        <f t="shared" si="4"/>
        <v/>
      </c>
      <c r="AA26" s="552" t="s">
        <v>1740</v>
      </c>
      <c r="AB26" s="7">
        <v>294</v>
      </c>
      <c r="AC26" s="7">
        <v>45</v>
      </c>
      <c r="AD26" s="3">
        <f t="shared" si="5"/>
        <v>256.10000000000002</v>
      </c>
      <c r="AE26">
        <f t="shared" si="6"/>
        <v>45</v>
      </c>
      <c r="AF26" s="151" t="s">
        <v>106</v>
      </c>
      <c r="AG26" s="151" t="s">
        <v>105</v>
      </c>
      <c r="AH26" s="555" t="s">
        <v>88</v>
      </c>
      <c r="AK26">
        <f>207.1-L26</f>
        <v>-37.900000000000006</v>
      </c>
      <c r="AL26" s="3">
        <f t="shared" si="7"/>
        <v>52.099999999999994</v>
      </c>
      <c r="AM26" s="53"/>
      <c r="AN26" s="73">
        <v>343.5</v>
      </c>
      <c r="AO26" s="73">
        <v>-2.5</v>
      </c>
      <c r="AP26" s="73">
        <v>41</v>
      </c>
      <c r="AQ26" s="73"/>
      <c r="BA26">
        <v>3784.2500000000009</v>
      </c>
    </row>
    <row r="27" spans="1:59">
      <c r="A27">
        <v>262</v>
      </c>
      <c r="B27" s="51">
        <v>3793.99</v>
      </c>
      <c r="C27" s="584" t="s">
        <v>1683</v>
      </c>
      <c r="D27" s="584"/>
      <c r="E27" s="2">
        <v>1.2649999999999999</v>
      </c>
      <c r="F27" s="53">
        <v>6.2</v>
      </c>
      <c r="G27" s="583" t="s">
        <v>1788</v>
      </c>
      <c r="H27" s="516" t="s">
        <v>137</v>
      </c>
      <c r="I27" s="151"/>
      <c r="J27" s="2">
        <v>1.2</v>
      </c>
      <c r="K27" s="585" t="s">
        <v>1730</v>
      </c>
      <c r="L27">
        <v>72</v>
      </c>
      <c r="M27" s="3">
        <v>-23</v>
      </c>
      <c r="N27" s="516"/>
      <c r="O27" s="71" t="s">
        <v>1552</v>
      </c>
      <c r="P27" s="516">
        <v>155</v>
      </c>
      <c r="Q27" s="516">
        <v>82</v>
      </c>
      <c r="R27" s="521">
        <f>IF(L27-P27 &lt;0, L27-P27+360, L27-P27)</f>
        <v>277</v>
      </c>
      <c r="S27" s="151">
        <f t="shared" si="0"/>
        <v>-23</v>
      </c>
      <c r="T27" s="522">
        <f t="shared" si="1"/>
        <v>290.10000000000002</v>
      </c>
      <c r="U27" s="151">
        <f t="shared" si="2"/>
        <v>82</v>
      </c>
      <c r="V27" s="71"/>
      <c r="W27" s="7"/>
      <c r="X27" s="7"/>
      <c r="Y27" t="str">
        <f t="shared" si="3"/>
        <v/>
      </c>
      <c r="Z27" s="535" t="str">
        <f t="shared" si="4"/>
        <v/>
      </c>
      <c r="AA27" s="552" t="s">
        <v>1728</v>
      </c>
      <c r="AB27" s="7">
        <v>316</v>
      </c>
      <c r="AC27" s="7">
        <v>-42</v>
      </c>
      <c r="AD27" s="3">
        <f t="shared" si="5"/>
        <v>91.100000000000023</v>
      </c>
      <c r="AE27">
        <f t="shared" si="6"/>
        <v>-42</v>
      </c>
      <c r="AF27" s="151" t="s">
        <v>106</v>
      </c>
      <c r="AG27" s="151" t="s">
        <v>105</v>
      </c>
      <c r="AH27" s="555" t="s">
        <v>107</v>
      </c>
      <c r="AK27">
        <f>207.1-L27</f>
        <v>135.1</v>
      </c>
      <c r="AL27" s="3">
        <f t="shared" si="7"/>
        <v>225.1</v>
      </c>
      <c r="AM27" s="53"/>
      <c r="AN27" s="73">
        <v>350.6</v>
      </c>
      <c r="AO27" s="73">
        <v>-11.3</v>
      </c>
      <c r="AP27" s="73">
        <v>49.3</v>
      </c>
      <c r="AQ27" s="73"/>
      <c r="BA27">
        <v>3784.3000000000011</v>
      </c>
    </row>
    <row r="28" spans="1:59">
      <c r="AX28">
        <v>3785</v>
      </c>
      <c r="BA28">
        <v>3784.3500000000013</v>
      </c>
    </row>
    <row r="29" spans="1:59">
      <c r="A29" s="587" t="s">
        <v>1790</v>
      </c>
      <c r="B29" s="558"/>
      <c r="C29" s="305"/>
      <c r="D29" s="305"/>
      <c r="E29" s="588"/>
      <c r="F29" s="305"/>
      <c r="AF29" s="151" t="s">
        <v>1791</v>
      </c>
      <c r="AK29" s="589" t="s">
        <v>1792</v>
      </c>
      <c r="BA29">
        <v>3784.4000000000015</v>
      </c>
    </row>
    <row r="30" spans="1:59">
      <c r="P30" s="515" t="s">
        <v>1796</v>
      </c>
      <c r="AF30" s="151" t="s">
        <v>1793</v>
      </c>
      <c r="AK30" s="590" t="s">
        <v>1794</v>
      </c>
      <c r="BA30">
        <v>3784.4500000000016</v>
      </c>
    </row>
    <row r="31" spans="1:59">
      <c r="P31" s="151" t="s">
        <v>1797</v>
      </c>
      <c r="AF31" s="151" t="s">
        <v>1795</v>
      </c>
      <c r="BA31">
        <v>3784.5000000000018</v>
      </c>
    </row>
    <row r="32" spans="1:59">
      <c r="P32" s="151"/>
      <c r="BA32">
        <v>3784.550000000002</v>
      </c>
    </row>
    <row r="33" spans="7:57">
      <c r="G33" s="151"/>
      <c r="BA33">
        <v>3784.6000000000022</v>
      </c>
    </row>
    <row r="34" spans="7:57">
      <c r="G34" s="151"/>
      <c r="AE34" s="151"/>
      <c r="AS34" s="151"/>
      <c r="BA34">
        <v>3784.6500000000024</v>
      </c>
    </row>
    <row r="35" spans="7:57">
      <c r="AE35" s="151"/>
      <c r="AS35" s="151"/>
      <c r="AY35">
        <v>70</v>
      </c>
      <c r="AZ35">
        <v>24</v>
      </c>
      <c r="BA35">
        <v>3784.7</v>
      </c>
    </row>
    <row r="36" spans="7:57">
      <c r="AE36" s="151"/>
      <c r="AY36">
        <v>75</v>
      </c>
      <c r="AZ36">
        <v>27</v>
      </c>
      <c r="BA36">
        <v>3784.75</v>
      </c>
    </row>
    <row r="37" spans="7:57">
      <c r="AE37" s="151"/>
      <c r="AS37" s="151"/>
      <c r="AY37">
        <v>80</v>
      </c>
      <c r="AZ37">
        <v>27</v>
      </c>
      <c r="BA37">
        <v>3784.8</v>
      </c>
      <c r="BE37" s="151"/>
    </row>
    <row r="38" spans="7:57">
      <c r="AE38" s="151"/>
      <c r="AY38">
        <v>85</v>
      </c>
      <c r="AZ38">
        <v>27</v>
      </c>
      <c r="BA38">
        <v>3784.85</v>
      </c>
    </row>
    <row r="39" spans="7:57">
      <c r="Y39" s="151"/>
      <c r="AE39" s="151"/>
      <c r="AY39">
        <v>90</v>
      </c>
      <c r="AZ39">
        <v>27</v>
      </c>
      <c r="BA39">
        <v>3784.9</v>
      </c>
    </row>
    <row r="40" spans="7:57">
      <c r="AE40" s="151"/>
      <c r="AI40" s="151"/>
      <c r="AY40">
        <v>95</v>
      </c>
      <c r="AZ40">
        <v>25</v>
      </c>
      <c r="BA40">
        <v>3784.95</v>
      </c>
    </row>
    <row r="41" spans="7:57">
      <c r="AE41" s="151"/>
      <c r="AY41">
        <v>0</v>
      </c>
      <c r="AZ41">
        <v>27.3</v>
      </c>
      <c r="BA41">
        <v>3785</v>
      </c>
    </row>
    <row r="42" spans="7:57">
      <c r="AY42">
        <v>5</v>
      </c>
      <c r="AZ42">
        <v>28.4</v>
      </c>
      <c r="BA42">
        <v>3785.05</v>
      </c>
    </row>
    <row r="43" spans="7:57">
      <c r="AY43">
        <v>10</v>
      </c>
      <c r="AZ43">
        <v>29.4</v>
      </c>
      <c r="BA43">
        <v>3785.1</v>
      </c>
    </row>
    <row r="44" spans="7:57">
      <c r="AY44">
        <v>15</v>
      </c>
      <c r="AZ44">
        <v>27.4</v>
      </c>
      <c r="BA44">
        <v>3785.15</v>
      </c>
    </row>
    <row r="45" spans="7:57">
      <c r="AY45">
        <v>20</v>
      </c>
      <c r="AZ45">
        <v>27.4</v>
      </c>
      <c r="BA45">
        <v>3785.2</v>
      </c>
    </row>
    <row r="46" spans="7:57">
      <c r="AY46">
        <v>25</v>
      </c>
      <c r="AZ46">
        <v>27.5</v>
      </c>
      <c r="BA46">
        <v>3785.25</v>
      </c>
    </row>
    <row r="47" spans="7:57">
      <c r="AY47">
        <v>30</v>
      </c>
      <c r="AZ47">
        <v>26.5</v>
      </c>
      <c r="BA47">
        <v>3785.3</v>
      </c>
    </row>
    <row r="48" spans="7:57">
      <c r="AX48">
        <v>3786</v>
      </c>
      <c r="AY48">
        <v>35</v>
      </c>
      <c r="AZ48">
        <v>25.5</v>
      </c>
      <c r="BA48">
        <v>3785.35</v>
      </c>
    </row>
    <row r="49" spans="26:53">
      <c r="AY49">
        <v>40</v>
      </c>
      <c r="AZ49">
        <v>25.6</v>
      </c>
      <c r="BA49">
        <v>3785.4</v>
      </c>
    </row>
    <row r="50" spans="26:53">
      <c r="AY50">
        <v>45</v>
      </c>
      <c r="AZ50">
        <v>25.6</v>
      </c>
      <c r="BA50">
        <v>3785.45</v>
      </c>
    </row>
    <row r="51" spans="26:53">
      <c r="AY51">
        <v>50</v>
      </c>
      <c r="AZ51">
        <v>25.7</v>
      </c>
      <c r="BA51">
        <v>3785.5</v>
      </c>
    </row>
    <row r="52" spans="26:53">
      <c r="AY52">
        <v>55</v>
      </c>
      <c r="AZ52">
        <v>27.7</v>
      </c>
      <c r="BA52">
        <v>3785.55</v>
      </c>
    </row>
    <row r="53" spans="26:53">
      <c r="AY53">
        <v>60</v>
      </c>
      <c r="AZ53">
        <v>27.7</v>
      </c>
      <c r="BA53">
        <v>3785.6</v>
      </c>
    </row>
    <row r="54" spans="26:53">
      <c r="AY54">
        <v>65</v>
      </c>
      <c r="AZ54">
        <v>27.8</v>
      </c>
      <c r="BA54">
        <v>3785.65</v>
      </c>
    </row>
    <row r="55" spans="26:53">
      <c r="AY55">
        <v>70</v>
      </c>
      <c r="AZ55">
        <v>27.8</v>
      </c>
      <c r="BA55">
        <v>3785.7</v>
      </c>
    </row>
    <row r="56" spans="26:53">
      <c r="AY56">
        <v>75</v>
      </c>
      <c r="AZ56">
        <v>27.8</v>
      </c>
      <c r="BA56">
        <v>3785.75</v>
      </c>
    </row>
    <row r="57" spans="26:53">
      <c r="AY57">
        <v>80</v>
      </c>
      <c r="AZ57">
        <v>26.9</v>
      </c>
      <c r="BA57">
        <v>3785.8</v>
      </c>
    </row>
    <row r="58" spans="26:53">
      <c r="Z58" s="591"/>
      <c r="AA58" s="592"/>
      <c r="AB58" s="591"/>
      <c r="AC58" s="591"/>
      <c r="AD58" s="593"/>
      <c r="AE58" s="591"/>
      <c r="AF58" s="591"/>
      <c r="AG58" s="591"/>
      <c r="AH58" s="591"/>
      <c r="AI58" s="591"/>
      <c r="AY58">
        <v>85</v>
      </c>
      <c r="AZ58">
        <v>27.9</v>
      </c>
      <c r="BA58">
        <v>3785.85</v>
      </c>
    </row>
    <row r="59" spans="26:53">
      <c r="Z59" s="591"/>
      <c r="AA59" s="592"/>
      <c r="AB59" s="591"/>
      <c r="AC59" s="591"/>
      <c r="AD59" s="593"/>
      <c r="AE59" s="591"/>
      <c r="AF59" s="591"/>
      <c r="AG59" s="591"/>
      <c r="AH59" s="591"/>
      <c r="AI59" s="591"/>
      <c r="AY59">
        <v>90</v>
      </c>
      <c r="AZ59">
        <v>27.9</v>
      </c>
      <c r="BA59">
        <v>3785.9</v>
      </c>
    </row>
    <row r="60" spans="26:53">
      <c r="Z60" s="591"/>
      <c r="AA60" s="592"/>
      <c r="AB60" s="591"/>
      <c r="AC60" s="591"/>
      <c r="AD60" s="593"/>
      <c r="AE60" s="591"/>
      <c r="AF60" s="591"/>
      <c r="AG60" s="591"/>
      <c r="AH60" s="591"/>
      <c r="AI60" s="591"/>
      <c r="AY60">
        <v>95</v>
      </c>
      <c r="AZ60">
        <v>28</v>
      </c>
      <c r="BA60">
        <v>3785.95</v>
      </c>
    </row>
    <row r="61" spans="26:53">
      <c r="Z61" s="591"/>
      <c r="AA61" s="592"/>
      <c r="AB61" s="591"/>
      <c r="AC61" s="591"/>
      <c r="AD61" s="593"/>
      <c r="AE61" s="591"/>
      <c r="AF61" s="591"/>
      <c r="AG61" s="591"/>
      <c r="AH61" s="591"/>
      <c r="AI61" s="591"/>
      <c r="AY61">
        <v>0</v>
      </c>
      <c r="AZ61">
        <v>25.4</v>
      </c>
      <c r="BA61">
        <v>3786</v>
      </c>
    </row>
    <row r="62" spans="26:53">
      <c r="Z62" s="591"/>
      <c r="AA62" s="592"/>
      <c r="AB62" s="591"/>
      <c r="AC62" s="591"/>
      <c r="AD62" s="593"/>
      <c r="AE62" s="591"/>
      <c r="AF62" s="591"/>
      <c r="AG62" s="591"/>
      <c r="AH62" s="591"/>
      <c r="AI62" s="591"/>
      <c r="AY62">
        <v>5</v>
      </c>
      <c r="AZ62">
        <v>26.5</v>
      </c>
      <c r="BA62">
        <v>3786.05</v>
      </c>
    </row>
    <row r="63" spans="26:53">
      <c r="Z63" s="591"/>
      <c r="AA63" s="592"/>
      <c r="AB63" s="591"/>
      <c r="AC63" s="591"/>
      <c r="AD63" s="593"/>
      <c r="AE63" s="591"/>
      <c r="AF63" s="591"/>
      <c r="AG63" s="591"/>
      <c r="AH63" s="591"/>
      <c r="AI63" s="591"/>
      <c r="AY63">
        <v>10</v>
      </c>
      <c r="AZ63">
        <v>27.5</v>
      </c>
      <c r="BA63">
        <v>3786.1</v>
      </c>
    </row>
    <row r="64" spans="26:53">
      <c r="Z64" s="591"/>
      <c r="AA64" s="592"/>
      <c r="AB64" s="591"/>
      <c r="AC64" s="591"/>
      <c r="AD64" s="593"/>
      <c r="AE64" s="591"/>
      <c r="AF64" s="591"/>
      <c r="AG64" s="591"/>
      <c r="AH64" s="591"/>
      <c r="AI64" s="591"/>
      <c r="AY64">
        <v>15</v>
      </c>
      <c r="AZ64">
        <v>26.5</v>
      </c>
      <c r="BA64">
        <v>3786.15</v>
      </c>
    </row>
    <row r="65" spans="2:53">
      <c r="B65" s="586"/>
      <c r="Z65" s="591"/>
      <c r="AA65" s="592"/>
      <c r="AB65" s="591"/>
      <c r="AC65" s="591"/>
      <c r="AD65" s="593"/>
      <c r="AE65" s="591"/>
      <c r="AF65" s="591"/>
      <c r="AG65" s="591"/>
      <c r="AH65" s="591"/>
      <c r="AI65" s="591"/>
      <c r="BA65">
        <v>3786.2000000000003</v>
      </c>
    </row>
    <row r="66" spans="2:53">
      <c r="BA66">
        <v>3786.2500000000005</v>
      </c>
    </row>
    <row r="67" spans="2:53">
      <c r="BA67">
        <v>3786.3000000000006</v>
      </c>
    </row>
    <row r="68" spans="2:53">
      <c r="T68" s="594"/>
      <c r="U68" s="591"/>
      <c r="V68" s="592"/>
      <c r="W68" s="591"/>
      <c r="X68" s="591"/>
      <c r="Y68" s="591"/>
      <c r="Z68" s="591"/>
      <c r="AA68" s="592"/>
      <c r="AB68" s="591"/>
      <c r="AX68">
        <v>3787</v>
      </c>
      <c r="AY68">
        <v>35</v>
      </c>
      <c r="AZ68">
        <v>28.6</v>
      </c>
      <c r="BA68">
        <v>3786.35</v>
      </c>
    </row>
    <row r="69" spans="2:53">
      <c r="T69" s="595"/>
      <c r="U69" s="591"/>
      <c r="V69" s="596"/>
      <c r="W69" s="591"/>
      <c r="X69" s="591"/>
      <c r="Y69" s="591"/>
      <c r="Z69" s="591"/>
      <c r="AA69" s="592"/>
      <c r="AB69" s="591"/>
      <c r="AJ69" s="591"/>
      <c r="AK69" s="591"/>
      <c r="AL69" s="591"/>
      <c r="AM69" s="591"/>
      <c r="AN69" s="591"/>
      <c r="AO69" s="591"/>
      <c r="AP69" s="591"/>
      <c r="AQ69" s="591"/>
      <c r="AR69" s="591"/>
      <c r="AY69">
        <v>40</v>
      </c>
      <c r="AZ69">
        <v>27.7</v>
      </c>
      <c r="BA69">
        <v>3786.4</v>
      </c>
    </row>
    <row r="70" spans="2:53">
      <c r="T70" s="595"/>
      <c r="U70" s="591"/>
      <c r="V70" s="592"/>
      <c r="W70" s="591"/>
      <c r="X70" s="591"/>
      <c r="Y70" s="591"/>
      <c r="Z70" s="591"/>
      <c r="AA70" s="592"/>
      <c r="AB70" s="591"/>
      <c r="AJ70" s="591"/>
      <c r="AK70" s="597"/>
      <c r="AL70" s="591"/>
      <c r="AM70" s="591"/>
      <c r="AN70" s="591"/>
      <c r="AO70" s="591"/>
      <c r="AP70" s="591"/>
      <c r="AQ70" s="591"/>
      <c r="AR70" s="591"/>
      <c r="AY70">
        <v>45</v>
      </c>
      <c r="AZ70">
        <v>28.7</v>
      </c>
      <c r="BA70">
        <v>3786.45</v>
      </c>
    </row>
    <row r="71" spans="2:53">
      <c r="T71" s="595"/>
      <c r="U71" s="591"/>
      <c r="V71" s="592"/>
      <c r="W71" s="591"/>
      <c r="X71" s="591"/>
      <c r="Y71" s="591"/>
      <c r="Z71" s="591"/>
      <c r="AA71" s="592"/>
      <c r="AB71" s="591"/>
      <c r="AJ71" s="591"/>
      <c r="AK71" s="591"/>
      <c r="AL71" s="591"/>
      <c r="AM71" s="591"/>
      <c r="AN71" s="591"/>
      <c r="AO71" s="591"/>
      <c r="AP71" s="591"/>
      <c r="AQ71" s="591"/>
      <c r="AR71" s="591"/>
      <c r="AY71">
        <v>50</v>
      </c>
      <c r="AZ71">
        <v>28.7</v>
      </c>
      <c r="BA71">
        <v>3786.5</v>
      </c>
    </row>
    <row r="72" spans="2:53">
      <c r="T72" s="595"/>
      <c r="U72" s="591"/>
      <c r="V72" s="592"/>
      <c r="W72" s="591"/>
      <c r="X72" s="591"/>
      <c r="Y72" s="591"/>
      <c r="Z72" s="591"/>
      <c r="AA72" s="592"/>
      <c r="AB72" s="591"/>
      <c r="AJ72" s="591"/>
      <c r="AK72" s="591"/>
      <c r="AL72" s="591"/>
      <c r="AM72" s="591"/>
      <c r="AN72" s="591"/>
      <c r="AO72" s="591"/>
      <c r="AP72" s="591"/>
      <c r="AQ72" s="591"/>
      <c r="AR72" s="591"/>
      <c r="AY72">
        <v>55</v>
      </c>
      <c r="AZ72">
        <v>29.7</v>
      </c>
      <c r="BA72">
        <v>3786.55</v>
      </c>
    </row>
    <row r="73" spans="2:53">
      <c r="T73" s="595"/>
      <c r="U73" s="591"/>
      <c r="V73" s="592"/>
      <c r="W73" s="591"/>
      <c r="X73" s="591"/>
      <c r="Y73" s="591"/>
      <c r="Z73" s="591"/>
      <c r="AA73" s="592"/>
      <c r="AB73" s="591"/>
      <c r="AJ73" s="591"/>
      <c r="AK73" s="591"/>
      <c r="AL73" s="591"/>
      <c r="AM73" s="591"/>
      <c r="AN73" s="591"/>
      <c r="AO73" s="591"/>
      <c r="AP73" s="591"/>
      <c r="AQ73" s="591"/>
      <c r="AR73" s="591"/>
      <c r="AY73">
        <v>60</v>
      </c>
      <c r="AZ73">
        <v>28.8</v>
      </c>
      <c r="BA73">
        <v>3786.6</v>
      </c>
    </row>
    <row r="74" spans="2:53">
      <c r="T74" s="595"/>
      <c r="U74" s="591"/>
      <c r="V74" s="592"/>
      <c r="W74" s="591"/>
      <c r="X74" s="591"/>
      <c r="Y74" s="591"/>
      <c r="Z74" s="591"/>
      <c r="AA74" s="592"/>
      <c r="AB74" s="591"/>
      <c r="AJ74" s="591"/>
      <c r="AK74" s="591"/>
      <c r="AL74" s="591"/>
      <c r="AM74" s="591"/>
      <c r="AN74" s="591"/>
      <c r="AO74" s="591"/>
      <c r="AP74" s="591"/>
      <c r="AQ74" s="591"/>
      <c r="AR74" s="591"/>
      <c r="AY74">
        <v>65</v>
      </c>
      <c r="AZ74">
        <v>28.8</v>
      </c>
      <c r="BA74">
        <v>3786.65</v>
      </c>
    </row>
    <row r="75" spans="2:53">
      <c r="T75" s="595"/>
      <c r="U75" s="591"/>
      <c r="V75" s="592"/>
      <c r="W75" s="591"/>
      <c r="X75" s="591"/>
      <c r="Y75" s="591"/>
      <c r="Z75" s="591"/>
      <c r="AA75" s="592"/>
      <c r="AB75" s="591"/>
      <c r="AJ75" s="591"/>
      <c r="AK75" s="591"/>
      <c r="AL75" s="591"/>
      <c r="AM75" s="591"/>
      <c r="AN75" s="591"/>
      <c r="AO75" s="591"/>
      <c r="AP75" s="591"/>
      <c r="AQ75" s="591"/>
      <c r="AR75" s="591"/>
      <c r="AY75">
        <v>70</v>
      </c>
      <c r="AZ75">
        <v>27.9</v>
      </c>
      <c r="BA75">
        <v>3786.7</v>
      </c>
    </row>
    <row r="76" spans="2:53">
      <c r="T76" s="595"/>
      <c r="U76" s="591"/>
      <c r="V76" s="592"/>
      <c r="W76" s="591"/>
      <c r="X76" s="591"/>
      <c r="Y76" s="591"/>
      <c r="Z76" s="591"/>
      <c r="AA76" s="592"/>
      <c r="AB76" s="591"/>
      <c r="AJ76" s="591"/>
      <c r="AK76" s="591"/>
      <c r="AL76" s="591"/>
      <c r="AM76" s="591"/>
      <c r="AN76" s="591"/>
      <c r="AO76" s="591"/>
      <c r="AP76" s="591"/>
      <c r="AQ76" s="591"/>
      <c r="AR76" s="591"/>
      <c r="AY76">
        <v>75</v>
      </c>
      <c r="AZ76">
        <v>27.9</v>
      </c>
      <c r="BA76">
        <v>3786.75</v>
      </c>
    </row>
    <row r="77" spans="2:53">
      <c r="T77" s="595"/>
      <c r="U77" s="591"/>
      <c r="V77" s="592"/>
      <c r="W77" s="591"/>
      <c r="X77" s="591"/>
      <c r="Y77" s="591"/>
      <c r="Z77" s="591"/>
      <c r="AA77" s="592"/>
      <c r="AB77" s="591"/>
      <c r="AJ77" s="591"/>
      <c r="AK77" s="591"/>
      <c r="AL77" s="591"/>
      <c r="AM77" s="591"/>
      <c r="AN77" s="591"/>
      <c r="AO77" s="591"/>
      <c r="AP77" s="591"/>
      <c r="AQ77" s="591"/>
      <c r="AR77" s="591"/>
      <c r="AY77">
        <v>80</v>
      </c>
      <c r="AZ77">
        <v>29.9</v>
      </c>
      <c r="BA77">
        <v>3786.8</v>
      </c>
    </row>
    <row r="78" spans="2:53">
      <c r="T78" s="595"/>
      <c r="U78" s="591"/>
      <c r="V78" s="592"/>
      <c r="W78" s="591"/>
      <c r="X78" s="591"/>
      <c r="Y78" s="591"/>
      <c r="Z78" s="591"/>
      <c r="AA78" s="592"/>
      <c r="AB78" s="591"/>
      <c r="AJ78" s="591"/>
      <c r="AK78" s="591"/>
      <c r="AL78" s="591"/>
      <c r="AM78" s="591"/>
      <c r="AN78" s="591"/>
      <c r="AO78" s="591"/>
      <c r="AP78" s="591"/>
      <c r="AQ78" s="591"/>
      <c r="AR78" s="591"/>
      <c r="AY78">
        <v>85</v>
      </c>
      <c r="AZ78">
        <v>27.9</v>
      </c>
      <c r="BA78">
        <v>3786.85</v>
      </c>
    </row>
    <row r="79" spans="2:53">
      <c r="T79" s="595"/>
      <c r="U79" s="591"/>
      <c r="V79" s="592"/>
      <c r="W79" s="591"/>
      <c r="X79" s="591"/>
      <c r="Y79" s="591"/>
      <c r="Z79" s="591"/>
      <c r="AA79" s="592"/>
      <c r="AB79" s="591"/>
      <c r="AJ79" s="591"/>
      <c r="AK79" s="591"/>
      <c r="AL79" s="591"/>
      <c r="AM79" s="591"/>
      <c r="AN79" s="591"/>
      <c r="AO79" s="591"/>
      <c r="AP79" s="591"/>
      <c r="AQ79" s="591"/>
      <c r="AR79" s="591"/>
      <c r="AY79">
        <v>90</v>
      </c>
      <c r="AZ79">
        <v>28.9</v>
      </c>
      <c r="BA79">
        <v>3786.9</v>
      </c>
    </row>
    <row r="80" spans="2:53">
      <c r="T80" s="595"/>
      <c r="U80" s="591"/>
      <c r="V80" s="591"/>
      <c r="W80" s="591"/>
      <c r="X80" s="591"/>
      <c r="Y80" s="591"/>
      <c r="Z80" s="591"/>
      <c r="AA80" s="592"/>
      <c r="AB80" s="591"/>
      <c r="AJ80" s="591"/>
      <c r="AK80" s="591"/>
      <c r="AL80" s="591"/>
      <c r="AM80" s="591"/>
      <c r="AN80" s="591"/>
      <c r="AO80" s="591"/>
      <c r="AP80" s="591"/>
      <c r="AQ80" s="591"/>
      <c r="AR80" s="591"/>
      <c r="AY80">
        <v>95</v>
      </c>
      <c r="AZ80">
        <v>28</v>
      </c>
      <c r="BA80">
        <v>3786.95</v>
      </c>
    </row>
    <row r="81" spans="20:53">
      <c r="T81" s="595"/>
      <c r="U81" s="591"/>
      <c r="V81" s="592"/>
      <c r="W81" s="591"/>
      <c r="X81" s="591"/>
      <c r="Y81" s="591"/>
      <c r="Z81" s="591"/>
      <c r="AA81" s="592"/>
      <c r="AB81" s="591"/>
      <c r="AJ81" s="591"/>
      <c r="AK81" s="591"/>
      <c r="AL81" s="591"/>
      <c r="AM81" s="591"/>
      <c r="AN81" s="591"/>
      <c r="AO81" s="591"/>
      <c r="AP81" s="591"/>
      <c r="AQ81" s="591"/>
      <c r="AR81" s="591"/>
      <c r="AY81">
        <v>0</v>
      </c>
      <c r="AZ81">
        <v>26.5</v>
      </c>
      <c r="BA81">
        <v>3787</v>
      </c>
    </row>
    <row r="82" spans="20:53">
      <c r="T82" s="595"/>
      <c r="U82" s="591"/>
      <c r="V82" s="592"/>
      <c r="W82" s="591"/>
      <c r="X82" s="591"/>
      <c r="Y82" s="591"/>
      <c r="Z82" s="591"/>
      <c r="AA82" s="592"/>
      <c r="AB82" s="591"/>
      <c r="AJ82" s="591"/>
      <c r="AK82" s="591"/>
      <c r="AL82" s="591"/>
      <c r="AM82" s="591"/>
      <c r="AN82" s="591"/>
      <c r="AO82" s="591"/>
      <c r="AP82" s="591"/>
      <c r="AQ82" s="591"/>
      <c r="AR82" s="591"/>
      <c r="AY82">
        <v>5</v>
      </c>
      <c r="AZ82">
        <v>28.5</v>
      </c>
      <c r="BA82">
        <v>3787.05</v>
      </c>
    </row>
    <row r="83" spans="20:53">
      <c r="T83" s="595"/>
      <c r="U83" s="591"/>
      <c r="V83" s="596"/>
      <c r="W83" s="591"/>
      <c r="X83" s="591"/>
      <c r="Y83" s="591"/>
      <c r="Z83" s="591"/>
      <c r="AA83" s="592"/>
      <c r="AB83" s="591"/>
      <c r="AJ83" s="591"/>
      <c r="AK83" s="591"/>
      <c r="AL83" s="591"/>
      <c r="AM83" s="591"/>
      <c r="AN83" s="591"/>
      <c r="AO83" s="591"/>
      <c r="AP83" s="591"/>
      <c r="AQ83" s="591"/>
      <c r="AR83" s="591"/>
      <c r="AY83">
        <v>10</v>
      </c>
      <c r="AZ83">
        <v>30.6</v>
      </c>
      <c r="BA83">
        <v>3787.1</v>
      </c>
    </row>
    <row r="84" spans="20:53">
      <c r="T84" s="595"/>
      <c r="U84" s="591"/>
      <c r="V84" s="592"/>
      <c r="W84" s="591"/>
      <c r="X84" s="591"/>
      <c r="Y84" s="591"/>
      <c r="Z84" s="591"/>
      <c r="AA84" s="592"/>
      <c r="AB84" s="591"/>
      <c r="AJ84" s="591"/>
      <c r="AK84" s="591"/>
      <c r="AL84" s="591"/>
      <c r="AM84" s="591"/>
      <c r="AN84" s="591"/>
      <c r="AO84" s="591"/>
      <c r="AP84" s="591"/>
      <c r="AQ84" s="591"/>
      <c r="AR84" s="591"/>
      <c r="AY84">
        <v>15</v>
      </c>
      <c r="AZ84">
        <v>20.6</v>
      </c>
      <c r="BA84">
        <v>3787.15</v>
      </c>
    </row>
    <row r="85" spans="20:53">
      <c r="T85" s="595"/>
      <c r="U85" s="591"/>
      <c r="V85" s="592"/>
      <c r="W85" s="591"/>
      <c r="X85" s="591"/>
      <c r="Y85" s="591"/>
      <c r="Z85" s="591"/>
      <c r="AA85" s="592"/>
      <c r="AB85" s="591"/>
      <c r="AJ85" s="591"/>
      <c r="AK85" s="591"/>
      <c r="AL85" s="591"/>
      <c r="AM85" s="591"/>
      <c r="AN85" s="591"/>
      <c r="AO85" s="591"/>
      <c r="AP85" s="591"/>
      <c r="AQ85" s="591"/>
      <c r="AR85" s="591"/>
      <c r="AY85">
        <v>20</v>
      </c>
      <c r="AZ85">
        <v>30.7</v>
      </c>
      <c r="BA85">
        <v>3787.2</v>
      </c>
    </row>
    <row r="86" spans="20:53">
      <c r="T86" s="595"/>
      <c r="U86" s="591"/>
      <c r="V86" s="592"/>
      <c r="W86" s="591"/>
      <c r="X86" s="591"/>
      <c r="Y86" s="591"/>
      <c r="Z86" s="591"/>
      <c r="AA86" s="592"/>
      <c r="AB86" s="591"/>
      <c r="AY86">
        <v>25</v>
      </c>
      <c r="AZ86">
        <v>29.7</v>
      </c>
      <c r="BA86">
        <v>3787.25</v>
      </c>
    </row>
    <row r="87" spans="20:53">
      <c r="T87" s="595"/>
      <c r="U87" s="591"/>
      <c r="V87" s="592"/>
      <c r="W87" s="591"/>
      <c r="X87" s="591"/>
      <c r="Y87" s="591"/>
      <c r="Z87" s="591"/>
      <c r="AA87" s="592"/>
      <c r="AB87" s="591"/>
      <c r="AY87">
        <v>30</v>
      </c>
      <c r="AZ87">
        <v>28.7</v>
      </c>
      <c r="BA87">
        <v>3787.3</v>
      </c>
    </row>
    <row r="88" spans="20:53">
      <c r="T88" s="595"/>
      <c r="U88" s="591"/>
      <c r="V88" s="592"/>
      <c r="W88" s="591"/>
      <c r="X88" s="591"/>
      <c r="Y88" s="591"/>
      <c r="Z88" s="591"/>
      <c r="AA88" s="592"/>
      <c r="AB88" s="591"/>
      <c r="AX88">
        <v>3788</v>
      </c>
      <c r="AY88">
        <v>35</v>
      </c>
      <c r="AZ88">
        <v>27.8</v>
      </c>
      <c r="BA88">
        <v>3787.35</v>
      </c>
    </row>
    <row r="89" spans="20:53">
      <c r="T89" s="595"/>
      <c r="U89" s="591"/>
      <c r="V89" s="592"/>
      <c r="W89" s="591"/>
      <c r="X89" s="591"/>
      <c r="Y89" s="591"/>
      <c r="Z89" s="591"/>
      <c r="AA89" s="592"/>
      <c r="AB89" s="591"/>
      <c r="AY89">
        <v>40</v>
      </c>
      <c r="AZ89">
        <v>29.8</v>
      </c>
      <c r="BA89">
        <v>3787.4</v>
      </c>
    </row>
    <row r="90" spans="20:53">
      <c r="T90" s="595"/>
      <c r="U90" s="591"/>
      <c r="V90" s="592"/>
      <c r="W90" s="591"/>
      <c r="X90" s="591"/>
      <c r="Y90" s="591"/>
      <c r="Z90" s="591"/>
      <c r="AA90" s="592"/>
      <c r="AB90" s="591"/>
      <c r="AY90">
        <v>45</v>
      </c>
      <c r="AZ90">
        <v>29.8</v>
      </c>
      <c r="BA90">
        <v>3787.45</v>
      </c>
    </row>
    <row r="91" spans="20:53">
      <c r="T91" s="595"/>
      <c r="U91" s="591"/>
      <c r="V91" s="592"/>
      <c r="W91" s="591"/>
      <c r="X91" s="591"/>
      <c r="Y91" s="591"/>
      <c r="Z91" s="591"/>
      <c r="AA91" s="592"/>
      <c r="AB91" s="591"/>
      <c r="AY91">
        <v>50</v>
      </c>
      <c r="AZ91">
        <v>29.9</v>
      </c>
      <c r="BA91">
        <v>3787.5</v>
      </c>
    </row>
    <row r="92" spans="20:53">
      <c r="T92" s="595"/>
      <c r="U92" s="591"/>
      <c r="V92" s="592"/>
      <c r="W92" s="591"/>
      <c r="X92" s="591"/>
      <c r="Y92" s="591"/>
      <c r="Z92" s="591"/>
      <c r="AA92" s="592"/>
      <c r="AB92" s="591"/>
      <c r="AY92">
        <v>55</v>
      </c>
      <c r="AZ92">
        <v>29.9</v>
      </c>
      <c r="BA92">
        <v>3787.55</v>
      </c>
    </row>
    <row r="93" spans="20:53">
      <c r="T93" s="595"/>
      <c r="U93" s="591"/>
      <c r="V93" s="592"/>
      <c r="W93" s="591"/>
      <c r="X93" s="591"/>
      <c r="Y93" s="591"/>
      <c r="Z93" s="591"/>
      <c r="AA93" s="592"/>
      <c r="AB93" s="591"/>
      <c r="AY93">
        <v>60</v>
      </c>
      <c r="AZ93">
        <v>28.9</v>
      </c>
      <c r="BA93">
        <v>3787.6</v>
      </c>
    </row>
    <row r="94" spans="20:53">
      <c r="T94" s="595"/>
      <c r="U94" s="591"/>
      <c r="V94" s="591"/>
      <c r="W94" s="591"/>
      <c r="X94" s="591"/>
      <c r="Y94" s="591"/>
      <c r="Z94" s="591"/>
      <c r="AA94" s="592"/>
      <c r="AB94" s="591"/>
      <c r="AY94">
        <v>65</v>
      </c>
      <c r="AZ94">
        <v>30.9</v>
      </c>
      <c r="BA94">
        <v>3787.65</v>
      </c>
    </row>
    <row r="95" spans="20:53">
      <c r="T95" s="595"/>
      <c r="U95" s="591"/>
      <c r="V95" s="592"/>
      <c r="W95" s="591"/>
      <c r="X95" s="591"/>
      <c r="Y95" s="591"/>
      <c r="Z95" s="591"/>
      <c r="AA95" s="592"/>
      <c r="AB95" s="591"/>
      <c r="AY95">
        <v>70</v>
      </c>
      <c r="AZ95">
        <v>29</v>
      </c>
      <c r="BA95">
        <v>3787.7</v>
      </c>
    </row>
    <row r="96" spans="20:53">
      <c r="BA96">
        <v>3787.75</v>
      </c>
    </row>
    <row r="97" spans="22:53">
      <c r="BA97">
        <v>3787.8</v>
      </c>
    </row>
    <row r="98" spans="22:53">
      <c r="V98" s="28"/>
      <c r="BA98">
        <v>3787.8500000000004</v>
      </c>
    </row>
    <row r="99" spans="22:53">
      <c r="BA99">
        <v>3787.9000000000005</v>
      </c>
    </row>
    <row r="100" spans="22:53">
      <c r="BA100">
        <v>3787.9500000000007</v>
      </c>
    </row>
    <row r="101" spans="22:53">
      <c r="AY101">
        <v>0</v>
      </c>
      <c r="AZ101">
        <v>25.5</v>
      </c>
      <c r="BA101">
        <v>3788</v>
      </c>
    </row>
    <row r="102" spans="22:53">
      <c r="AY102">
        <v>5</v>
      </c>
      <c r="AZ102">
        <v>23.5</v>
      </c>
      <c r="BA102">
        <v>3788.05</v>
      </c>
    </row>
    <row r="103" spans="22:53">
      <c r="AY103">
        <v>10</v>
      </c>
      <c r="AZ103">
        <v>27.6</v>
      </c>
      <c r="BA103">
        <v>3788.1</v>
      </c>
    </row>
    <row r="104" spans="22:53">
      <c r="AY104">
        <v>15</v>
      </c>
      <c r="AZ104">
        <v>28.6</v>
      </c>
      <c r="BA104">
        <v>3788.15</v>
      </c>
    </row>
    <row r="105" spans="22:53">
      <c r="AY105">
        <v>20</v>
      </c>
      <c r="AZ105">
        <v>28.6</v>
      </c>
      <c r="BA105">
        <v>3788.2</v>
      </c>
    </row>
    <row r="106" spans="22:53">
      <c r="AY106">
        <v>25</v>
      </c>
      <c r="AZ106">
        <v>26.6</v>
      </c>
      <c r="BA106">
        <v>3788.25</v>
      </c>
    </row>
    <row r="107" spans="22:53">
      <c r="AY107">
        <v>30</v>
      </c>
      <c r="AZ107">
        <v>25.7</v>
      </c>
      <c r="BA107">
        <v>3788.3</v>
      </c>
    </row>
    <row r="108" spans="22:53">
      <c r="AX108">
        <v>3789</v>
      </c>
      <c r="AY108">
        <v>35</v>
      </c>
      <c r="AZ108">
        <v>29.7</v>
      </c>
      <c r="BA108">
        <v>3788.35</v>
      </c>
    </row>
    <row r="109" spans="22:53">
      <c r="AY109">
        <v>40</v>
      </c>
      <c r="AZ109">
        <v>28.7</v>
      </c>
      <c r="BA109">
        <v>3788.4</v>
      </c>
    </row>
    <row r="110" spans="22:53">
      <c r="AY110">
        <v>45</v>
      </c>
      <c r="AZ110">
        <v>28.7</v>
      </c>
      <c r="BA110">
        <v>3788.45</v>
      </c>
    </row>
    <row r="111" spans="22:53">
      <c r="AY111">
        <v>50</v>
      </c>
      <c r="AZ111">
        <v>28.7</v>
      </c>
      <c r="BA111">
        <v>3788.5</v>
      </c>
    </row>
    <row r="112" spans="22:53">
      <c r="AY112">
        <v>55</v>
      </c>
      <c r="AZ112">
        <v>27.8</v>
      </c>
      <c r="BA112">
        <v>3788.55</v>
      </c>
    </row>
    <row r="113" spans="50:53">
      <c r="AY113">
        <v>60</v>
      </c>
      <c r="AZ113">
        <v>28.8</v>
      </c>
      <c r="BA113">
        <v>3788.6</v>
      </c>
    </row>
    <row r="114" spans="50:53">
      <c r="AY114">
        <v>65</v>
      </c>
      <c r="AZ114">
        <v>28.8</v>
      </c>
      <c r="BA114">
        <v>3788.65</v>
      </c>
    </row>
    <row r="115" spans="50:53">
      <c r="AY115">
        <v>70</v>
      </c>
      <c r="AZ115">
        <v>26.8</v>
      </c>
      <c r="BA115">
        <v>3788.7</v>
      </c>
    </row>
    <row r="116" spans="50:53">
      <c r="AY116">
        <v>75</v>
      </c>
      <c r="AZ116">
        <v>24.9</v>
      </c>
      <c r="BA116">
        <v>3788.75</v>
      </c>
    </row>
    <row r="117" spans="50:53">
      <c r="AY117">
        <v>80</v>
      </c>
      <c r="AZ117">
        <v>25.9</v>
      </c>
      <c r="BA117">
        <v>3788.8</v>
      </c>
    </row>
    <row r="118" spans="50:53">
      <c r="AY118">
        <v>85</v>
      </c>
      <c r="AZ118">
        <v>27.9</v>
      </c>
      <c r="BA118">
        <v>3788.85</v>
      </c>
    </row>
    <row r="119" spans="50:53">
      <c r="AY119">
        <v>90</v>
      </c>
      <c r="AZ119">
        <v>27.9</v>
      </c>
      <c r="BA119">
        <v>3788.9</v>
      </c>
    </row>
    <row r="120" spans="50:53">
      <c r="AY120">
        <v>95</v>
      </c>
      <c r="AZ120">
        <v>29</v>
      </c>
      <c r="BA120">
        <v>3788.95</v>
      </c>
    </row>
    <row r="121" spans="50:53">
      <c r="AY121">
        <v>0</v>
      </c>
      <c r="AZ121">
        <v>25.7</v>
      </c>
      <c r="BA121">
        <v>3789</v>
      </c>
    </row>
    <row r="122" spans="50:53">
      <c r="AY122">
        <v>5</v>
      </c>
      <c r="AZ122">
        <v>30.8</v>
      </c>
      <c r="BA122">
        <v>3789.05</v>
      </c>
    </row>
    <row r="123" spans="50:53">
      <c r="AY123">
        <v>10</v>
      </c>
      <c r="AZ123">
        <v>28.8</v>
      </c>
      <c r="BA123">
        <v>3789.1</v>
      </c>
    </row>
    <row r="124" spans="50:53">
      <c r="AY124">
        <v>15</v>
      </c>
      <c r="AZ124">
        <v>27.8</v>
      </c>
      <c r="BA124">
        <v>3789.15</v>
      </c>
    </row>
    <row r="125" spans="50:53">
      <c r="AY125">
        <v>20</v>
      </c>
      <c r="AZ125">
        <v>28.8</v>
      </c>
      <c r="BA125">
        <v>3789.2</v>
      </c>
    </row>
    <row r="126" spans="50:53">
      <c r="AY126">
        <v>25</v>
      </c>
      <c r="AZ126">
        <v>28.8</v>
      </c>
      <c r="BA126">
        <v>3789.25</v>
      </c>
    </row>
    <row r="127" spans="50:53">
      <c r="AY127">
        <v>30</v>
      </c>
      <c r="AZ127">
        <v>27.8</v>
      </c>
      <c r="BA127">
        <v>3789.3</v>
      </c>
    </row>
    <row r="128" spans="50:53">
      <c r="AX128">
        <v>3790</v>
      </c>
      <c r="AY128">
        <v>35</v>
      </c>
      <c r="AZ128">
        <v>27.8</v>
      </c>
      <c r="BA128">
        <v>3789.35</v>
      </c>
    </row>
    <row r="129" spans="51:53">
      <c r="AY129">
        <v>40</v>
      </c>
      <c r="AZ129">
        <v>28.8</v>
      </c>
      <c r="BA129">
        <v>3789.4</v>
      </c>
    </row>
    <row r="130" spans="51:53">
      <c r="BA130">
        <v>3789.4500000000003</v>
      </c>
    </row>
    <row r="131" spans="51:53">
      <c r="BA131">
        <v>3789.5000000000005</v>
      </c>
    </row>
    <row r="132" spans="51:53">
      <c r="BA132">
        <v>3789.5500000000006</v>
      </c>
    </row>
    <row r="133" spans="51:53">
      <c r="AY133">
        <v>60</v>
      </c>
      <c r="AZ133">
        <v>26.9</v>
      </c>
      <c r="BA133">
        <v>3789.6</v>
      </c>
    </row>
    <row r="134" spans="51:53">
      <c r="AY134">
        <v>65</v>
      </c>
      <c r="AZ134">
        <v>27.9</v>
      </c>
      <c r="BA134">
        <v>3789.65</v>
      </c>
    </row>
    <row r="135" spans="51:53">
      <c r="AY135">
        <v>70</v>
      </c>
      <c r="AZ135">
        <v>26.9</v>
      </c>
      <c r="BA135">
        <v>3789.7</v>
      </c>
    </row>
    <row r="136" spans="51:53">
      <c r="AY136">
        <v>75</v>
      </c>
      <c r="AZ136">
        <v>25.9</v>
      </c>
      <c r="BA136">
        <v>3789.75</v>
      </c>
    </row>
    <row r="137" spans="51:53">
      <c r="AY137">
        <v>80</v>
      </c>
      <c r="AZ137">
        <v>27.9</v>
      </c>
      <c r="BA137">
        <v>3789.8</v>
      </c>
    </row>
    <row r="138" spans="51:53">
      <c r="AY138">
        <v>85</v>
      </c>
      <c r="AZ138">
        <v>25.9</v>
      </c>
      <c r="BA138">
        <v>3789.85</v>
      </c>
    </row>
    <row r="139" spans="51:53">
      <c r="AY139">
        <v>90</v>
      </c>
      <c r="AZ139">
        <v>27.9</v>
      </c>
      <c r="BA139">
        <v>3789.9</v>
      </c>
    </row>
    <row r="140" spans="51:53">
      <c r="AY140">
        <v>95</v>
      </c>
      <c r="AZ140">
        <v>29</v>
      </c>
      <c r="BA140">
        <v>3789.95</v>
      </c>
    </row>
    <row r="141" spans="51:53">
      <c r="AY141">
        <v>0</v>
      </c>
      <c r="AZ141">
        <v>29.6</v>
      </c>
      <c r="BA141">
        <v>3790</v>
      </c>
    </row>
    <row r="142" spans="51:53">
      <c r="AY142">
        <v>5</v>
      </c>
      <c r="AZ142">
        <v>31.6</v>
      </c>
      <c r="BA142">
        <v>3790.05</v>
      </c>
    </row>
    <row r="143" spans="51:53">
      <c r="AY143">
        <v>10</v>
      </c>
      <c r="AZ143">
        <v>29.6</v>
      </c>
      <c r="BA143">
        <v>3790.1</v>
      </c>
    </row>
    <row r="144" spans="51:53">
      <c r="AY144">
        <v>15</v>
      </c>
      <c r="AZ144">
        <v>29.6</v>
      </c>
      <c r="BA144">
        <v>3790.15</v>
      </c>
    </row>
    <row r="145" spans="50:53">
      <c r="AY145">
        <v>20</v>
      </c>
      <c r="AZ145">
        <v>29.7</v>
      </c>
      <c r="BA145">
        <v>3790.2</v>
      </c>
    </row>
    <row r="146" spans="50:53">
      <c r="AY146">
        <v>25</v>
      </c>
      <c r="AZ146">
        <v>28.7</v>
      </c>
      <c r="BA146">
        <v>3790.25</v>
      </c>
    </row>
    <row r="147" spans="50:53">
      <c r="AY147">
        <v>30</v>
      </c>
      <c r="AZ147">
        <v>29.7</v>
      </c>
      <c r="BA147">
        <v>3790.3</v>
      </c>
    </row>
    <row r="148" spans="50:53">
      <c r="AX148">
        <v>3791</v>
      </c>
      <c r="AY148">
        <v>35</v>
      </c>
      <c r="AZ148">
        <v>29.7</v>
      </c>
      <c r="BA148">
        <v>3790.35</v>
      </c>
    </row>
    <row r="149" spans="50:53">
      <c r="AY149">
        <v>40</v>
      </c>
      <c r="AZ149">
        <v>30.7</v>
      </c>
      <c r="BA149">
        <v>3790.4</v>
      </c>
    </row>
    <row r="150" spans="50:53">
      <c r="AY150">
        <v>45</v>
      </c>
      <c r="AZ150">
        <v>29.8</v>
      </c>
      <c r="BA150">
        <v>3790.45</v>
      </c>
    </row>
    <row r="151" spans="50:53">
      <c r="AY151">
        <v>50</v>
      </c>
      <c r="AZ151">
        <v>28.8</v>
      </c>
      <c r="BA151">
        <v>3790.5</v>
      </c>
    </row>
    <row r="152" spans="50:53">
      <c r="AY152">
        <v>55</v>
      </c>
      <c r="AZ152">
        <v>27.8</v>
      </c>
      <c r="BA152">
        <v>3790.55</v>
      </c>
    </row>
    <row r="153" spans="50:53">
      <c r="BA153">
        <v>3790.6000000000004</v>
      </c>
    </row>
    <row r="154" spans="50:53">
      <c r="BA154">
        <v>3790.6500000000005</v>
      </c>
    </row>
    <row r="155" spans="50:53">
      <c r="BA155">
        <v>3790.7000000000007</v>
      </c>
    </row>
    <row r="156" spans="50:53">
      <c r="AY156">
        <v>75</v>
      </c>
      <c r="AZ156">
        <v>29.9</v>
      </c>
      <c r="BA156">
        <v>3790.75</v>
      </c>
    </row>
    <row r="157" spans="50:53">
      <c r="AY157">
        <v>80</v>
      </c>
      <c r="AZ157">
        <v>31.9</v>
      </c>
      <c r="BA157">
        <v>3790.8</v>
      </c>
    </row>
    <row r="158" spans="50:53">
      <c r="AY158">
        <v>85</v>
      </c>
      <c r="AZ158">
        <v>30.9</v>
      </c>
      <c r="BA158">
        <v>3790.85</v>
      </c>
    </row>
    <row r="159" spans="50:53">
      <c r="AY159">
        <v>90</v>
      </c>
      <c r="AZ159">
        <v>28.9</v>
      </c>
      <c r="BA159">
        <v>3790.9</v>
      </c>
    </row>
    <row r="160" spans="50:53">
      <c r="AY160">
        <v>95</v>
      </c>
      <c r="AZ160">
        <v>31</v>
      </c>
      <c r="BA160">
        <v>3790.95</v>
      </c>
    </row>
    <row r="161" spans="50:53">
      <c r="AY161">
        <v>0</v>
      </c>
      <c r="AZ161">
        <v>35.5</v>
      </c>
      <c r="BA161">
        <v>3791</v>
      </c>
    </row>
    <row r="162" spans="50:53">
      <c r="AY162">
        <v>5</v>
      </c>
      <c r="AZ162">
        <v>35.5</v>
      </c>
      <c r="BA162">
        <v>3791.05</v>
      </c>
    </row>
    <row r="163" spans="50:53">
      <c r="AY163">
        <v>10</v>
      </c>
      <c r="AZ163">
        <v>31.5</v>
      </c>
      <c r="BA163">
        <v>3791.1</v>
      </c>
    </row>
    <row r="164" spans="50:53">
      <c r="AY164">
        <v>15</v>
      </c>
      <c r="AZ164">
        <v>30.6</v>
      </c>
      <c r="BA164">
        <v>3791.15</v>
      </c>
    </row>
    <row r="165" spans="50:53">
      <c r="AY165">
        <v>20</v>
      </c>
      <c r="AZ165">
        <v>30.6</v>
      </c>
      <c r="BA165">
        <v>3791.2</v>
      </c>
    </row>
    <row r="166" spans="50:53">
      <c r="AY166">
        <v>25</v>
      </c>
      <c r="AZ166">
        <v>32.6</v>
      </c>
      <c r="BA166">
        <v>3791.25</v>
      </c>
    </row>
    <row r="167" spans="50:53">
      <c r="AY167">
        <v>30</v>
      </c>
      <c r="AZ167">
        <v>32.700000000000003</v>
      </c>
      <c r="BA167">
        <v>3791.3</v>
      </c>
    </row>
    <row r="168" spans="50:53">
      <c r="AX168">
        <v>3792</v>
      </c>
      <c r="AY168">
        <v>35</v>
      </c>
      <c r="AZ168">
        <v>32.700000000000003</v>
      </c>
      <c r="BA168">
        <v>3791.35</v>
      </c>
    </row>
    <row r="169" spans="50:53">
      <c r="AY169">
        <v>40</v>
      </c>
      <c r="AZ169">
        <v>32.700000000000003</v>
      </c>
      <c r="BA169">
        <v>3791.4</v>
      </c>
    </row>
    <row r="170" spans="50:53">
      <c r="AY170">
        <v>45</v>
      </c>
      <c r="AZ170">
        <v>30.7</v>
      </c>
      <c r="BA170">
        <v>3791.45</v>
      </c>
    </row>
    <row r="171" spans="50:53">
      <c r="AY171">
        <v>50</v>
      </c>
      <c r="AZ171">
        <v>29.7</v>
      </c>
      <c r="BA171">
        <v>3791.5</v>
      </c>
    </row>
    <row r="172" spans="50:53">
      <c r="AY172">
        <v>55</v>
      </c>
      <c r="AZ172">
        <v>31.8</v>
      </c>
      <c r="BA172">
        <v>3791.55</v>
      </c>
    </row>
    <row r="173" spans="50:53">
      <c r="AY173">
        <v>60</v>
      </c>
      <c r="AZ173">
        <v>32.799999999999997</v>
      </c>
      <c r="BA173">
        <v>3791.6</v>
      </c>
    </row>
    <row r="174" spans="50:53">
      <c r="AY174">
        <v>65</v>
      </c>
      <c r="AZ174">
        <v>32.799999999999997</v>
      </c>
      <c r="BA174">
        <v>3791.65</v>
      </c>
    </row>
    <row r="175" spans="50:53">
      <c r="AY175">
        <v>70</v>
      </c>
      <c r="AZ175">
        <v>29.8</v>
      </c>
      <c r="BA175">
        <v>3791.7</v>
      </c>
    </row>
    <row r="176" spans="50:53">
      <c r="AY176">
        <v>75</v>
      </c>
      <c r="AZ176">
        <v>32.9</v>
      </c>
      <c r="BA176">
        <v>3791.75</v>
      </c>
    </row>
    <row r="177" spans="50:53">
      <c r="AY177">
        <v>80</v>
      </c>
      <c r="AZ177">
        <v>31.9</v>
      </c>
      <c r="BA177">
        <v>3791.8</v>
      </c>
    </row>
    <row r="178" spans="50:53">
      <c r="AY178">
        <v>85</v>
      </c>
      <c r="AZ178">
        <v>31.9</v>
      </c>
      <c r="BA178">
        <v>3791.85</v>
      </c>
    </row>
    <row r="179" spans="50:53">
      <c r="AY179">
        <v>90</v>
      </c>
      <c r="AZ179">
        <v>30.9</v>
      </c>
      <c r="BA179">
        <v>3791.9</v>
      </c>
    </row>
    <row r="180" spans="50:53">
      <c r="AY180">
        <v>95</v>
      </c>
      <c r="AZ180">
        <v>32</v>
      </c>
      <c r="BA180">
        <v>3791.95</v>
      </c>
    </row>
    <row r="181" spans="50:53">
      <c r="AY181">
        <v>0</v>
      </c>
      <c r="AZ181">
        <v>32</v>
      </c>
      <c r="BA181">
        <v>3792</v>
      </c>
    </row>
    <row r="182" spans="50:53">
      <c r="AY182">
        <v>5</v>
      </c>
      <c r="AZ182">
        <v>31</v>
      </c>
      <c r="BA182">
        <v>3792.05</v>
      </c>
    </row>
    <row r="183" spans="50:53">
      <c r="AY183">
        <v>10</v>
      </c>
      <c r="AZ183">
        <v>32</v>
      </c>
      <c r="BA183">
        <v>3792.1</v>
      </c>
    </row>
    <row r="184" spans="50:53">
      <c r="AY184">
        <v>15</v>
      </c>
      <c r="AZ184">
        <v>32</v>
      </c>
      <c r="BA184">
        <v>3792.15</v>
      </c>
    </row>
    <row r="185" spans="50:53">
      <c r="AY185">
        <v>20</v>
      </c>
      <c r="AZ185">
        <v>30</v>
      </c>
      <c r="BA185">
        <v>3792.2</v>
      </c>
    </row>
    <row r="186" spans="50:53">
      <c r="AY186">
        <v>25</v>
      </c>
      <c r="AZ186">
        <v>31</v>
      </c>
      <c r="BA186">
        <v>3792.25</v>
      </c>
    </row>
    <row r="187" spans="50:53">
      <c r="AY187">
        <v>30</v>
      </c>
      <c r="AZ187">
        <v>32</v>
      </c>
      <c r="BA187">
        <v>3792.3</v>
      </c>
    </row>
    <row r="188" spans="50:53">
      <c r="AX188">
        <v>3793</v>
      </c>
      <c r="AY188">
        <v>35</v>
      </c>
      <c r="AZ188">
        <v>30</v>
      </c>
      <c r="BA188">
        <v>3792.35</v>
      </c>
    </row>
    <row r="189" spans="50:53">
      <c r="AY189">
        <v>40</v>
      </c>
      <c r="AZ189">
        <v>31</v>
      </c>
      <c r="BA189">
        <v>3792.4</v>
      </c>
    </row>
    <row r="190" spans="50:53">
      <c r="AY190">
        <v>45</v>
      </c>
      <c r="AZ190">
        <v>30</v>
      </c>
      <c r="BA190">
        <v>3792.45</v>
      </c>
    </row>
    <row r="191" spans="50:53">
      <c r="AY191">
        <v>50</v>
      </c>
      <c r="AZ191">
        <v>31</v>
      </c>
      <c r="BA191">
        <v>3792.5</v>
      </c>
    </row>
    <row r="192" spans="50:53">
      <c r="AY192">
        <v>55</v>
      </c>
      <c r="AZ192">
        <v>34</v>
      </c>
      <c r="BA192">
        <v>3792.55</v>
      </c>
    </row>
    <row r="193" spans="50:53">
      <c r="AY193">
        <v>60</v>
      </c>
      <c r="AZ193">
        <v>31</v>
      </c>
      <c r="BA193">
        <v>3792.6</v>
      </c>
    </row>
    <row r="194" spans="50:53">
      <c r="AY194">
        <v>65</v>
      </c>
      <c r="AZ194">
        <v>31</v>
      </c>
      <c r="BA194">
        <v>3792.65</v>
      </c>
    </row>
    <row r="195" spans="50:53">
      <c r="AY195">
        <v>70</v>
      </c>
      <c r="AZ195">
        <v>29</v>
      </c>
      <c r="BA195">
        <v>3792.7</v>
      </c>
    </row>
    <row r="196" spans="50:53">
      <c r="AY196">
        <v>75</v>
      </c>
      <c r="AZ196">
        <v>30</v>
      </c>
      <c r="BA196">
        <v>3792.75</v>
      </c>
    </row>
    <row r="197" spans="50:53">
      <c r="AY197">
        <v>80</v>
      </c>
      <c r="AZ197">
        <v>26</v>
      </c>
      <c r="BA197">
        <v>3792.8</v>
      </c>
    </row>
    <row r="198" spans="50:53">
      <c r="AY198">
        <v>85</v>
      </c>
      <c r="AZ198">
        <v>27</v>
      </c>
      <c r="BA198">
        <v>3792.85</v>
      </c>
    </row>
    <row r="199" spans="50:53">
      <c r="AY199">
        <v>90</v>
      </c>
      <c r="AZ199">
        <v>26</v>
      </c>
      <c r="BA199">
        <v>3792.9</v>
      </c>
    </row>
    <row r="200" spans="50:53">
      <c r="AY200">
        <v>95</v>
      </c>
      <c r="AZ200">
        <v>26</v>
      </c>
      <c r="BA200">
        <v>3792.95</v>
      </c>
    </row>
    <row r="201" spans="50:53">
      <c r="AY201">
        <v>0</v>
      </c>
      <c r="AZ201">
        <v>25.4</v>
      </c>
      <c r="BA201">
        <v>3793</v>
      </c>
    </row>
    <row r="202" spans="50:53">
      <c r="AY202">
        <v>5</v>
      </c>
      <c r="AZ202">
        <v>15.6</v>
      </c>
      <c r="BA202">
        <v>3793.05</v>
      </c>
    </row>
    <row r="203" spans="50:53">
      <c r="AY203">
        <v>10</v>
      </c>
      <c r="AZ203">
        <v>27.5</v>
      </c>
      <c r="BA203">
        <v>3793.1</v>
      </c>
    </row>
    <row r="204" spans="50:53">
      <c r="AY204">
        <v>15</v>
      </c>
      <c r="AZ204">
        <v>24</v>
      </c>
      <c r="BA204">
        <v>3793.15</v>
      </c>
    </row>
    <row r="205" spans="50:53">
      <c r="AY205">
        <v>20</v>
      </c>
      <c r="AZ205">
        <v>11.2</v>
      </c>
      <c r="BA205">
        <v>3793.2</v>
      </c>
    </row>
    <row r="206" spans="50:53">
      <c r="AY206">
        <v>25</v>
      </c>
      <c r="AZ206">
        <v>11.8</v>
      </c>
      <c r="BA206">
        <v>3793.25</v>
      </c>
    </row>
    <row r="207" spans="50:53">
      <c r="AY207">
        <v>30</v>
      </c>
      <c r="AZ207">
        <v>9.6999999999999993</v>
      </c>
      <c r="BA207">
        <v>3793.3</v>
      </c>
    </row>
    <row r="208" spans="50:53">
      <c r="AX208">
        <v>3794</v>
      </c>
      <c r="AY208">
        <v>35</v>
      </c>
      <c r="AZ208">
        <v>15.6</v>
      </c>
      <c r="BA208">
        <v>3793.35</v>
      </c>
    </row>
    <row r="209" spans="51:53">
      <c r="AY209">
        <v>40</v>
      </c>
      <c r="AZ209">
        <v>11.4</v>
      </c>
      <c r="BA209">
        <v>3793.4</v>
      </c>
    </row>
    <row r="210" spans="51:53">
      <c r="AY210">
        <v>45</v>
      </c>
      <c r="AZ210">
        <v>9</v>
      </c>
      <c r="BA210">
        <v>3793.45</v>
      </c>
    </row>
    <row r="211" spans="51:53">
      <c r="AY211">
        <v>50</v>
      </c>
      <c r="AZ211">
        <v>6.7</v>
      </c>
      <c r="BA211">
        <v>3793.5</v>
      </c>
    </row>
    <row r="212" spans="51:53">
      <c r="AY212">
        <v>55</v>
      </c>
      <c r="AZ212">
        <v>5</v>
      </c>
      <c r="BA212">
        <v>3793.55</v>
      </c>
    </row>
    <row r="213" spans="51:53">
      <c r="AY213">
        <v>60</v>
      </c>
      <c r="AZ213">
        <v>5.3</v>
      </c>
      <c r="BA213">
        <v>3793.6</v>
      </c>
    </row>
    <row r="214" spans="51:53">
      <c r="AY214">
        <v>65</v>
      </c>
      <c r="AZ214">
        <v>4.4000000000000004</v>
      </c>
      <c r="BA214">
        <v>3793.65</v>
      </c>
    </row>
    <row r="215" spans="51:53">
      <c r="AY215">
        <v>70</v>
      </c>
      <c r="AZ215">
        <v>3.9</v>
      </c>
      <c r="BA215">
        <v>3793.7</v>
      </c>
    </row>
    <row r="216" spans="51:53">
      <c r="AY216">
        <v>75</v>
      </c>
      <c r="AZ216">
        <v>4.3</v>
      </c>
      <c r="BA216">
        <v>3793.75</v>
      </c>
    </row>
    <row r="217" spans="51:53">
      <c r="AY217">
        <v>80</v>
      </c>
      <c r="AZ217">
        <v>3.8</v>
      </c>
      <c r="BA217">
        <v>3793.8</v>
      </c>
    </row>
    <row r="218" spans="51:53">
      <c r="AY218">
        <v>85</v>
      </c>
      <c r="AZ218">
        <v>3.3</v>
      </c>
      <c r="BA218">
        <v>3793.85</v>
      </c>
    </row>
    <row r="219" spans="51:53">
      <c r="AY219">
        <v>90</v>
      </c>
      <c r="AZ219">
        <v>5.3</v>
      </c>
      <c r="BA219">
        <v>3793.9</v>
      </c>
    </row>
    <row r="220" spans="51:53">
      <c r="AY220">
        <v>95</v>
      </c>
      <c r="AZ220">
        <v>8</v>
      </c>
      <c r="BA220">
        <v>3793.95</v>
      </c>
    </row>
    <row r="221" spans="51:53">
      <c r="BA221">
        <v>3794</v>
      </c>
    </row>
    <row r="222" spans="51:53">
      <c r="BA222">
        <v>3794.05</v>
      </c>
    </row>
    <row r="223" spans="51:53">
      <c r="BA223">
        <v>3794.1000000000004</v>
      </c>
    </row>
    <row r="224" spans="51:53">
      <c r="BA224">
        <v>3794.1500000000005</v>
      </c>
    </row>
    <row r="225" spans="50:53">
      <c r="BA225">
        <v>3794.2000000000007</v>
      </c>
    </row>
    <row r="226" spans="50:53">
      <c r="BA226">
        <v>3794.2500000000009</v>
      </c>
    </row>
    <row r="227" spans="50:53">
      <c r="BA227">
        <v>3794.3000000000011</v>
      </c>
    </row>
    <row r="228" spans="50:53">
      <c r="AX228">
        <v>3795</v>
      </c>
      <c r="AY228">
        <v>35</v>
      </c>
      <c r="AZ228">
        <v>4.5999999999999996</v>
      </c>
      <c r="BA228">
        <v>3794.35</v>
      </c>
    </row>
    <row r="229" spans="50:53">
      <c r="AY229">
        <v>40</v>
      </c>
      <c r="AZ229">
        <v>5.6</v>
      </c>
      <c r="BA229">
        <v>3794.4</v>
      </c>
    </row>
    <row r="230" spans="50:53">
      <c r="AY230">
        <v>45</v>
      </c>
      <c r="AZ230">
        <v>6.7</v>
      </c>
      <c r="BA230">
        <v>3794.45</v>
      </c>
    </row>
    <row r="231" spans="50:53">
      <c r="AY231">
        <v>50</v>
      </c>
      <c r="AZ231">
        <v>7.7</v>
      </c>
      <c r="BA231">
        <v>3794.5</v>
      </c>
    </row>
    <row r="232" spans="50:53">
      <c r="AY232">
        <v>55</v>
      </c>
      <c r="AZ232">
        <v>6.7</v>
      </c>
      <c r="BA232">
        <v>3794.55</v>
      </c>
    </row>
    <row r="233" spans="50:53">
      <c r="AY233">
        <v>60</v>
      </c>
      <c r="AZ233">
        <v>4.7</v>
      </c>
      <c r="BA233">
        <v>3794.6</v>
      </c>
    </row>
    <row r="234" spans="50:53">
      <c r="AY234">
        <v>65</v>
      </c>
      <c r="AZ234">
        <v>6.8</v>
      </c>
      <c r="BA234">
        <v>3794.65</v>
      </c>
    </row>
    <row r="235" spans="50:53">
      <c r="AY235">
        <v>70</v>
      </c>
      <c r="AZ235">
        <v>3.8</v>
      </c>
      <c r="BA235">
        <v>3794.7</v>
      </c>
    </row>
    <row r="236" spans="50:53">
      <c r="AY236">
        <v>75</v>
      </c>
      <c r="AZ236">
        <v>2.8</v>
      </c>
      <c r="BA236">
        <v>3794.75</v>
      </c>
    </row>
    <row r="237" spans="50:53">
      <c r="AY237">
        <v>80</v>
      </c>
      <c r="AZ237">
        <v>2.8</v>
      </c>
      <c r="BA237">
        <v>3794.8</v>
      </c>
    </row>
    <row r="238" spans="50:53">
      <c r="AY238">
        <v>85</v>
      </c>
      <c r="AZ238">
        <v>3.9</v>
      </c>
      <c r="BA238">
        <v>3794.85</v>
      </c>
    </row>
    <row r="239" spans="50:53">
      <c r="AY239">
        <v>90</v>
      </c>
      <c r="AZ239">
        <v>5.9</v>
      </c>
      <c r="BA239">
        <v>3794.9</v>
      </c>
    </row>
    <row r="240" spans="50:53">
      <c r="AY240">
        <v>95</v>
      </c>
      <c r="AZ240">
        <v>6</v>
      </c>
      <c r="BA240">
        <v>3794.95</v>
      </c>
    </row>
    <row r="241" spans="51:53">
      <c r="AY241">
        <v>0</v>
      </c>
      <c r="AZ241">
        <v>3.9</v>
      </c>
      <c r="BA241">
        <v>3795</v>
      </c>
    </row>
    <row r="242" spans="51:53">
      <c r="AY242">
        <v>5</v>
      </c>
      <c r="AZ242">
        <v>4.8</v>
      </c>
      <c r="BA242">
        <v>3795.05</v>
      </c>
    </row>
    <row r="243" spans="51:53">
      <c r="AY243">
        <v>10</v>
      </c>
      <c r="AZ243">
        <v>3.9</v>
      </c>
      <c r="BA243">
        <v>3795.1</v>
      </c>
    </row>
    <row r="244" spans="51:53">
      <c r="AY244">
        <v>15</v>
      </c>
      <c r="AZ244">
        <v>4.9000000000000004</v>
      </c>
      <c r="BA244">
        <v>3795.15</v>
      </c>
    </row>
    <row r="245" spans="51:53">
      <c r="AY245">
        <v>20</v>
      </c>
      <c r="AZ245">
        <v>2.9</v>
      </c>
      <c r="BA245">
        <v>3795.2</v>
      </c>
    </row>
    <row r="246" spans="51:53">
      <c r="AY246">
        <v>25</v>
      </c>
      <c r="AZ246">
        <v>9.9</v>
      </c>
      <c r="BA246">
        <v>3795.25</v>
      </c>
    </row>
    <row r="247" spans="51:53">
      <c r="AY247">
        <v>30</v>
      </c>
      <c r="AZ247">
        <v>9</v>
      </c>
      <c r="BA247">
        <v>3795.3</v>
      </c>
    </row>
  </sheetData>
  <mergeCells count="4">
    <mergeCell ref="J5:N5"/>
    <mergeCell ref="O5:Q5"/>
    <mergeCell ref="Y5:Z5"/>
    <mergeCell ref="AD5:AE5"/>
  </mergeCells>
  <hyperlinks>
    <hyperlink ref="K7" r:id="rId1"/>
    <hyperlink ref="K18" r:id="rId2"/>
    <hyperlink ref="K21" r:id="rId3"/>
    <hyperlink ref="K22" r:id="rId4"/>
    <hyperlink ref="K24" r:id="rId5" display="320-@"/>
    <hyperlink ref="K13" r:id="rId6"/>
    <hyperlink ref="AA14" r:id="rId7"/>
    <hyperlink ref="K17" r:id="rId8"/>
    <hyperlink ref="AA19" r:id="rId9"/>
    <hyperlink ref="K20" r:id="rId10"/>
    <hyperlink ref="AA23" r:id="rId11"/>
    <hyperlink ref="AA8" r:id="rId12" display="410-@"/>
    <hyperlink ref="V11" r:id="rId13"/>
    <hyperlink ref="AA11" r:id="rId14" display="350-@"/>
    <hyperlink ref="V25" r:id="rId15"/>
    <hyperlink ref="AA25" r:id="rId16"/>
    <hyperlink ref="AA27" r:id="rId17"/>
    <hyperlink ref="AA24" r:id="rId18"/>
    <hyperlink ref="AA22" r:id="rId19"/>
    <hyperlink ref="AA21" r:id="rId20"/>
    <hyperlink ref="AA20" r:id="rId21"/>
    <hyperlink ref="AA18" r:id="rId22"/>
    <hyperlink ref="AA17" r:id="rId23"/>
    <hyperlink ref="AA13" r:id="rId24"/>
    <hyperlink ref="AA10" r:id="rId25"/>
    <hyperlink ref="AA7" r:id="rId26"/>
    <hyperlink ref="V9" r:id="rId27" display="500-@?"/>
    <hyperlink ref="AA26" r:id="rId28"/>
    <hyperlink ref="AA9" r:id="rId29"/>
  </hyperlinks>
  <pageMargins left="0.7" right="0.7" top="0.75" bottom="0.75" header="0.3" footer="0.3"/>
  <legacyDrawing r:id="rId3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Y105"/>
  <sheetViews>
    <sheetView topLeftCell="A22" zoomScaleNormal="100" workbookViewId="0">
      <selection activeCell="J62" sqref="J62"/>
    </sheetView>
  </sheetViews>
  <sheetFormatPr defaultColWidth="9.7109375" defaultRowHeight="15"/>
  <cols>
    <col min="10" max="10" width="9.7109375" style="362"/>
    <col min="12" max="12" width="9.7109375" style="2"/>
    <col min="17" max="17" width="9.7109375" style="513"/>
    <col min="18" max="18" width="9.7109375" style="2"/>
    <col min="24" max="24" width="9.7109375" style="2"/>
    <col min="31" max="31" width="9.7109375" style="2"/>
    <col min="37" max="37" width="9.7109375" style="2"/>
    <col min="42" max="42" width="9.7109375" style="2"/>
  </cols>
  <sheetData>
    <row r="1" spans="1:66" ht="20.25">
      <c r="A1" s="598" t="s">
        <v>1937</v>
      </c>
      <c r="B1" s="598"/>
      <c r="J1" s="599"/>
      <c r="L1" s="28" t="s">
        <v>1938</v>
      </c>
      <c r="R1" s="28" t="s">
        <v>1939</v>
      </c>
      <c r="Y1" s="27" t="s">
        <v>1940</v>
      </c>
      <c r="AF1" s="151" t="s">
        <v>1941</v>
      </c>
      <c r="AV1" s="151" t="s">
        <v>2081</v>
      </c>
    </row>
    <row r="2" spans="1:66">
      <c r="B2" s="151" t="s">
        <v>1942</v>
      </c>
      <c r="C2" s="27">
        <f>50+(45/60)</f>
        <v>50.75</v>
      </c>
      <c r="D2" s="530">
        <f>20+(59/60)</f>
        <v>20.983333333333334</v>
      </c>
      <c r="I2" s="151" t="s">
        <v>1943</v>
      </c>
      <c r="J2" s="600" t="s">
        <v>1944</v>
      </c>
      <c r="M2" s="693" t="s">
        <v>1945</v>
      </c>
      <c r="N2" s="693"/>
      <c r="O2" s="601" t="s">
        <v>1946</v>
      </c>
      <c r="P2" s="602"/>
      <c r="Q2" s="603"/>
      <c r="R2" s="746" t="s">
        <v>1947</v>
      </c>
      <c r="S2" s="693"/>
      <c r="T2" s="693"/>
      <c r="U2" s="601" t="s">
        <v>1948</v>
      </c>
      <c r="V2" s="602"/>
      <c r="W2" s="602"/>
      <c r="X2" s="742" t="s">
        <v>1949</v>
      </c>
      <c r="Y2" s="743"/>
      <c r="Z2" s="743"/>
      <c r="AA2" s="604" t="s">
        <v>1950</v>
      </c>
      <c r="AB2" s="605"/>
      <c r="AC2" s="7"/>
      <c r="AD2" s="606"/>
      <c r="AF2" s="744" t="s">
        <v>1951</v>
      </c>
      <c r="AG2" s="745"/>
      <c r="AH2" s="745"/>
      <c r="AI2" s="604" t="s">
        <v>1952</v>
      </c>
      <c r="AJ2" s="605"/>
      <c r="AK2" s="743" t="s">
        <v>1953</v>
      </c>
      <c r="AL2" s="743"/>
      <c r="AM2" s="743"/>
      <c r="AN2" s="743"/>
      <c r="AO2" s="607" t="s">
        <v>1954</v>
      </c>
      <c r="AP2" s="608" t="s">
        <v>1955</v>
      </c>
      <c r="AQ2" s="151" t="s">
        <v>1025</v>
      </c>
      <c r="AT2" s="151" t="s">
        <v>1021</v>
      </c>
      <c r="AU2" s="151" t="s">
        <v>1956</v>
      </c>
    </row>
    <row r="3" spans="1:66" ht="79.5" thickBot="1">
      <c r="A3" s="657" t="s">
        <v>1529</v>
      </c>
      <c r="B3" s="609" t="s">
        <v>1957</v>
      </c>
      <c r="C3" s="610" t="s">
        <v>26</v>
      </c>
      <c r="D3" s="611" t="s">
        <v>1958</v>
      </c>
      <c r="E3" s="611" t="s">
        <v>33</v>
      </c>
      <c r="F3" s="612" t="s">
        <v>34</v>
      </c>
      <c r="G3" s="613" t="s">
        <v>1959</v>
      </c>
      <c r="H3" s="614" t="s">
        <v>1960</v>
      </c>
      <c r="J3" s="600" t="s">
        <v>1961</v>
      </c>
      <c r="K3" s="615" t="s">
        <v>1962</v>
      </c>
      <c r="L3" s="616" t="s">
        <v>35</v>
      </c>
      <c r="M3" s="616" t="s">
        <v>36</v>
      </c>
      <c r="N3" s="615" t="s">
        <v>37</v>
      </c>
      <c r="O3" s="617" t="s">
        <v>1031</v>
      </c>
      <c r="P3" s="617" t="s">
        <v>44</v>
      </c>
      <c r="Q3" s="618" t="s">
        <v>1963</v>
      </c>
      <c r="R3" s="616" t="s">
        <v>35</v>
      </c>
      <c r="S3" s="615" t="s">
        <v>36</v>
      </c>
      <c r="T3" s="615" t="s">
        <v>37</v>
      </c>
      <c r="U3" s="617" t="s">
        <v>1031</v>
      </c>
      <c r="V3" s="617" t="s">
        <v>44</v>
      </c>
      <c r="W3" s="619" t="s">
        <v>1964</v>
      </c>
      <c r="X3" s="616" t="s">
        <v>35</v>
      </c>
      <c r="Y3" s="615" t="s">
        <v>36</v>
      </c>
      <c r="Z3" s="151" t="s">
        <v>37</v>
      </c>
      <c r="AA3" s="604" t="s">
        <v>1031</v>
      </c>
      <c r="AB3" s="604" t="s">
        <v>44</v>
      </c>
      <c r="AC3" s="620" t="s">
        <v>1965</v>
      </c>
      <c r="AD3" s="621" t="s">
        <v>42</v>
      </c>
      <c r="AE3" s="521" t="s">
        <v>43</v>
      </c>
      <c r="AF3" s="622" t="s">
        <v>412</v>
      </c>
      <c r="AG3" s="622" t="s">
        <v>397</v>
      </c>
      <c r="AH3" s="622" t="s">
        <v>38</v>
      </c>
      <c r="AI3" s="604" t="s">
        <v>1031</v>
      </c>
      <c r="AJ3" s="604" t="s">
        <v>44</v>
      </c>
      <c r="AK3" s="623" t="s">
        <v>35</v>
      </c>
      <c r="AL3" s="624" t="s">
        <v>36</v>
      </c>
      <c r="AM3" s="624" t="s">
        <v>37</v>
      </c>
      <c r="AN3" s="624" t="s">
        <v>38</v>
      </c>
      <c r="AO3" s="624" t="s">
        <v>24</v>
      </c>
      <c r="AP3" s="521" t="s">
        <v>24</v>
      </c>
      <c r="AT3" s="151" t="s">
        <v>1966</v>
      </c>
      <c r="AU3" s="151" t="s">
        <v>1967</v>
      </c>
      <c r="AV3" s="151" t="s">
        <v>36</v>
      </c>
      <c r="AW3" s="151" t="s">
        <v>37</v>
      </c>
    </row>
    <row r="4" spans="1:66">
      <c r="A4" s="658">
        <v>2</v>
      </c>
      <c r="B4" s="625">
        <v>2.15</v>
      </c>
      <c r="C4" s="626" t="s">
        <v>137</v>
      </c>
      <c r="D4" s="626">
        <v>355</v>
      </c>
      <c r="E4">
        <f>IF(D4-90 &lt;0, 360+D4-90, D4-90 )</f>
        <v>265</v>
      </c>
      <c r="F4" s="626">
        <v>102</v>
      </c>
      <c r="G4" s="626">
        <v>194</v>
      </c>
      <c r="H4" s="626" t="s">
        <v>1968</v>
      </c>
      <c r="I4" t="str">
        <f>CONCATENATE(A4,C4)</f>
        <v>2x</v>
      </c>
      <c r="J4" s="362">
        <f>G4*0.001</f>
        <v>0.19400000000000001</v>
      </c>
      <c r="K4">
        <v>1.7</v>
      </c>
      <c r="X4" s="627" t="s">
        <v>1969</v>
      </c>
      <c r="Y4">
        <v>128</v>
      </c>
      <c r="Z4">
        <v>-22</v>
      </c>
      <c r="AA4">
        <v>48.7</v>
      </c>
      <c r="AB4">
        <v>-32.700000000000003</v>
      </c>
      <c r="AC4" s="151" t="s">
        <v>1970</v>
      </c>
      <c r="AE4" s="551" t="s">
        <v>1971</v>
      </c>
      <c r="AF4">
        <v>204</v>
      </c>
      <c r="AG4">
        <v>-3</v>
      </c>
      <c r="AH4">
        <v>18</v>
      </c>
      <c r="AI4">
        <v>290.7</v>
      </c>
      <c r="AJ4">
        <v>-57.5</v>
      </c>
      <c r="AK4" s="552" t="s">
        <v>1972</v>
      </c>
      <c r="AL4" s="7">
        <v>338</v>
      </c>
      <c r="AM4" s="7">
        <v>-60</v>
      </c>
      <c r="AN4" s="7">
        <v>18</v>
      </c>
      <c r="AO4" s="151" t="s">
        <v>106</v>
      </c>
      <c r="AP4" s="521" t="s">
        <v>105</v>
      </c>
      <c r="AQ4" s="151" t="s">
        <v>149</v>
      </c>
      <c r="AR4" s="628"/>
      <c r="AS4" s="629"/>
      <c r="AU4">
        <v>-62.1</v>
      </c>
      <c r="AV4">
        <v>206.2</v>
      </c>
      <c r="AW4">
        <v>-21</v>
      </c>
      <c r="BI4" s="151"/>
    </row>
    <row r="5" spans="1:66">
      <c r="A5" s="659">
        <v>2</v>
      </c>
      <c r="B5" s="625">
        <v>2.15</v>
      </c>
      <c r="C5" s="155" t="s">
        <v>1549</v>
      </c>
      <c r="D5" s="155">
        <v>355</v>
      </c>
      <c r="E5">
        <f t="shared" ref="E5:E6" si="0">IF(D5-90 &lt;0, 360+D5-90, D5-90 )</f>
        <v>265</v>
      </c>
      <c r="F5" s="155">
        <v>102</v>
      </c>
      <c r="G5" s="155">
        <v>918</v>
      </c>
      <c r="H5" s="155" t="s">
        <v>1973</v>
      </c>
      <c r="I5" t="str">
        <f t="shared" ref="I5:I52" si="1">CONCATENATE(A5,C5)</f>
        <v>2y</v>
      </c>
      <c r="J5" s="362">
        <f t="shared" ref="J5:J52" si="2">G5*0.001</f>
        <v>0.91800000000000004</v>
      </c>
      <c r="K5" s="151" t="s">
        <v>1974</v>
      </c>
      <c r="X5" s="521" t="s">
        <v>119</v>
      </c>
      <c r="Y5">
        <v>168</v>
      </c>
      <c r="Z5">
        <v>6</v>
      </c>
      <c r="AA5">
        <v>44.6</v>
      </c>
      <c r="AB5">
        <v>-80.8</v>
      </c>
      <c r="AC5" s="151" t="s">
        <v>1975</v>
      </c>
      <c r="AE5" s="521" t="s">
        <v>1976</v>
      </c>
      <c r="AF5">
        <v>159</v>
      </c>
      <c r="AG5">
        <v>17</v>
      </c>
      <c r="AH5">
        <v>6</v>
      </c>
      <c r="AI5">
        <v>104.8</v>
      </c>
      <c r="AJ5">
        <v>-73.7</v>
      </c>
      <c r="AK5" s="521" t="s">
        <v>1977</v>
      </c>
      <c r="AL5">
        <v>80</v>
      </c>
      <c r="AM5">
        <v>-38</v>
      </c>
      <c r="AN5">
        <v>38</v>
      </c>
      <c r="AO5" s="151"/>
      <c r="AP5" s="521" t="s">
        <v>113</v>
      </c>
      <c r="AQ5" s="151" t="s">
        <v>1132</v>
      </c>
      <c r="AR5" s="72"/>
      <c r="AS5" s="100"/>
      <c r="AT5" s="151" t="s">
        <v>1978</v>
      </c>
      <c r="AV5">
        <v>165.4</v>
      </c>
      <c r="AW5">
        <v>5.8</v>
      </c>
      <c r="AY5" s="151"/>
      <c r="BC5" s="151"/>
    </row>
    <row r="6" spans="1:66">
      <c r="A6" s="659">
        <v>2</v>
      </c>
      <c r="B6" s="625">
        <v>2.15</v>
      </c>
      <c r="C6" s="630" t="s">
        <v>1979</v>
      </c>
      <c r="D6" s="630">
        <v>355</v>
      </c>
      <c r="E6">
        <f t="shared" si="0"/>
        <v>265</v>
      </c>
      <c r="F6" s="630">
        <v>102</v>
      </c>
      <c r="G6" s="630">
        <v>218</v>
      </c>
      <c r="H6" s="630" t="s">
        <v>1973</v>
      </c>
      <c r="I6" t="str">
        <f t="shared" si="1"/>
        <v>2z</v>
      </c>
      <c r="J6" s="362">
        <f t="shared" si="2"/>
        <v>0.218</v>
      </c>
      <c r="K6" s="516" t="s">
        <v>1980</v>
      </c>
      <c r="R6" s="551" t="s">
        <v>1728</v>
      </c>
      <c r="S6">
        <v>66</v>
      </c>
      <c r="T6">
        <v>51</v>
      </c>
      <c r="U6" s="7">
        <v>138.5</v>
      </c>
      <c r="V6" s="7">
        <v>2.2000000000000002</v>
      </c>
      <c r="W6" s="516" t="s">
        <v>1975</v>
      </c>
      <c r="AE6" s="521" t="s">
        <v>1981</v>
      </c>
      <c r="AF6">
        <v>192</v>
      </c>
      <c r="AG6">
        <v>64</v>
      </c>
      <c r="AH6">
        <v>14</v>
      </c>
      <c r="AI6">
        <v>184.2</v>
      </c>
      <c r="AJ6">
        <v>-36.700000000000003</v>
      </c>
      <c r="AK6" s="521" t="s">
        <v>1552</v>
      </c>
      <c r="AL6">
        <v>265</v>
      </c>
      <c r="AM6">
        <v>-13</v>
      </c>
      <c r="AN6">
        <v>15</v>
      </c>
      <c r="AO6" s="151" t="s">
        <v>87</v>
      </c>
      <c r="AP6" s="521" t="s">
        <v>159</v>
      </c>
      <c r="AQ6" s="151" t="s">
        <v>1982</v>
      </c>
      <c r="AR6" s="72"/>
      <c r="AS6" s="100"/>
      <c r="AU6">
        <v>-81.7</v>
      </c>
      <c r="AV6">
        <v>181.1</v>
      </c>
      <c r="AW6">
        <v>24.5</v>
      </c>
      <c r="BN6" s="151"/>
    </row>
    <row r="7" spans="1:66" s="560" customFormat="1">
      <c r="A7" s="660" t="s">
        <v>1983</v>
      </c>
      <c r="B7" s="631"/>
      <c r="C7" s="632"/>
      <c r="D7" s="632"/>
      <c r="E7" s="632"/>
      <c r="F7" s="632"/>
      <c r="G7" s="632"/>
      <c r="H7" s="632"/>
      <c r="J7" s="634"/>
      <c r="L7" s="633"/>
      <c r="Q7" s="635"/>
      <c r="R7" s="633"/>
      <c r="X7" s="633"/>
      <c r="AE7" s="633"/>
      <c r="AI7" s="7"/>
      <c r="AJ7" s="7"/>
      <c r="AK7" s="633"/>
      <c r="AP7" s="633"/>
      <c r="AR7" s="636"/>
      <c r="AS7" s="637"/>
      <c r="AT7" s="7"/>
    </row>
    <row r="8" spans="1:66">
      <c r="A8" s="658">
        <v>3</v>
      </c>
      <c r="B8" s="638">
        <v>2.5499999999999998</v>
      </c>
      <c r="C8" s="155" t="s">
        <v>137</v>
      </c>
      <c r="D8" s="155">
        <v>355</v>
      </c>
      <c r="E8">
        <f>IF(D8-90 &lt;0, 360+D8-90, D8-90 )</f>
        <v>265</v>
      </c>
      <c r="F8" s="155">
        <v>102</v>
      </c>
      <c r="G8" s="155">
        <v>75</v>
      </c>
      <c r="H8" s="155" t="s">
        <v>1984</v>
      </c>
      <c r="I8" t="str">
        <f t="shared" si="1"/>
        <v>3x</v>
      </c>
      <c r="J8" s="362">
        <f t="shared" si="2"/>
        <v>7.4999999999999997E-2</v>
      </c>
      <c r="K8" s="151" t="s">
        <v>1985</v>
      </c>
      <c r="L8" s="551" t="s">
        <v>245</v>
      </c>
      <c r="M8">
        <v>320</v>
      </c>
      <c r="N8">
        <v>-82</v>
      </c>
      <c r="O8">
        <v>350.2</v>
      </c>
      <c r="P8">
        <v>18.5</v>
      </c>
      <c r="Q8" s="639" t="s">
        <v>137</v>
      </c>
      <c r="X8" s="521" t="s">
        <v>1986</v>
      </c>
      <c r="Y8">
        <v>277</v>
      </c>
      <c r="Z8">
        <v>-4</v>
      </c>
      <c r="AA8">
        <v>266.5</v>
      </c>
      <c r="AB8">
        <v>12.6</v>
      </c>
      <c r="AC8" s="151" t="s">
        <v>549</v>
      </c>
      <c r="AD8" s="151"/>
      <c r="AE8" s="521" t="s">
        <v>1987</v>
      </c>
      <c r="AF8">
        <v>326</v>
      </c>
      <c r="AG8">
        <v>-5</v>
      </c>
      <c r="AH8">
        <v>13</v>
      </c>
      <c r="AI8" s="7">
        <v>253.8</v>
      </c>
      <c r="AJ8" s="7">
        <v>60.5</v>
      </c>
      <c r="AK8" s="551" t="s">
        <v>1988</v>
      </c>
      <c r="AL8">
        <v>56</v>
      </c>
      <c r="AM8">
        <v>-9</v>
      </c>
      <c r="AN8">
        <v>25</v>
      </c>
      <c r="AO8" s="151" t="s">
        <v>106</v>
      </c>
      <c r="AP8" s="521" t="s">
        <v>65</v>
      </c>
      <c r="AQ8" s="151" t="s">
        <v>168</v>
      </c>
      <c r="AR8" s="59"/>
      <c r="AS8" s="69"/>
      <c r="AU8">
        <v>43.8</v>
      </c>
      <c r="AV8">
        <v>142.30000000000001</v>
      </c>
      <c r="AW8">
        <v>22.1</v>
      </c>
    </row>
    <row r="9" spans="1:66">
      <c r="A9" s="661">
        <v>3</v>
      </c>
      <c r="B9" s="638">
        <v>2.5499999999999998</v>
      </c>
      <c r="C9" s="630" t="s">
        <v>1549</v>
      </c>
      <c r="D9" s="630">
        <v>355</v>
      </c>
      <c r="E9">
        <f t="shared" ref="E9:E52" si="3">IF(D9-90 &lt;0, 360+D9-90, D9-90 )</f>
        <v>265</v>
      </c>
      <c r="F9" s="630">
        <v>102</v>
      </c>
      <c r="G9" s="630">
        <v>101</v>
      </c>
      <c r="H9" s="630" t="s">
        <v>1989</v>
      </c>
      <c r="I9" t="str">
        <f t="shared" si="1"/>
        <v>3y</v>
      </c>
      <c r="J9" s="362">
        <f t="shared" si="2"/>
        <v>0.10100000000000001</v>
      </c>
      <c r="K9">
        <v>2.5</v>
      </c>
      <c r="L9" s="521" t="s">
        <v>1990</v>
      </c>
      <c r="M9">
        <v>340</v>
      </c>
      <c r="N9">
        <v>-11</v>
      </c>
      <c r="O9">
        <v>262.60000000000002</v>
      </c>
      <c r="P9">
        <v>75.3</v>
      </c>
      <c r="AE9" s="551" t="s">
        <v>64</v>
      </c>
      <c r="AF9" s="151">
        <v>15</v>
      </c>
      <c r="AG9">
        <v>-15</v>
      </c>
      <c r="AH9">
        <v>18</v>
      </c>
      <c r="AI9">
        <v>74</v>
      </c>
      <c r="AJ9">
        <v>70.3</v>
      </c>
      <c r="AK9" s="551" t="s">
        <v>1991</v>
      </c>
      <c r="AL9">
        <v>102</v>
      </c>
      <c r="AM9">
        <v>-19</v>
      </c>
      <c r="AN9">
        <v>34</v>
      </c>
      <c r="AO9" s="151"/>
      <c r="AP9" s="521" t="s">
        <v>113</v>
      </c>
      <c r="AQ9" s="151" t="s">
        <v>67</v>
      </c>
      <c r="AR9" s="59"/>
      <c r="AS9" s="69"/>
      <c r="AT9">
        <v>83.3</v>
      </c>
      <c r="AV9">
        <v>184.5</v>
      </c>
      <c r="AW9">
        <v>20.8</v>
      </c>
    </row>
    <row r="10" spans="1:66">
      <c r="A10" s="662">
        <v>4</v>
      </c>
      <c r="B10" s="640">
        <v>2.75</v>
      </c>
      <c r="C10" s="626" t="s">
        <v>137</v>
      </c>
      <c r="D10" s="626">
        <v>17</v>
      </c>
      <c r="E10">
        <f t="shared" si="3"/>
        <v>287</v>
      </c>
      <c r="F10" s="626">
        <v>110</v>
      </c>
      <c r="G10" s="626">
        <v>72</v>
      </c>
      <c r="H10" s="626" t="s">
        <v>1992</v>
      </c>
      <c r="I10" t="str">
        <f t="shared" si="1"/>
        <v>4x</v>
      </c>
      <c r="J10" s="362">
        <f t="shared" si="2"/>
        <v>7.2000000000000008E-2</v>
      </c>
      <c r="K10">
        <v>0.8</v>
      </c>
      <c r="AE10" s="521" t="s">
        <v>119</v>
      </c>
      <c r="AF10" s="151">
        <v>28</v>
      </c>
      <c r="AG10">
        <v>-28</v>
      </c>
      <c r="AH10">
        <v>12</v>
      </c>
      <c r="AI10">
        <v>66.3</v>
      </c>
      <c r="AJ10">
        <v>77.2</v>
      </c>
      <c r="AK10" s="521" t="s">
        <v>92</v>
      </c>
      <c r="AL10" s="535">
        <v>149</v>
      </c>
      <c r="AM10" s="535">
        <v>-55</v>
      </c>
      <c r="AN10" s="535">
        <v>31</v>
      </c>
      <c r="AO10" s="151"/>
      <c r="AP10" s="521" t="s">
        <v>113</v>
      </c>
      <c r="AQ10" s="151" t="s">
        <v>67</v>
      </c>
      <c r="AR10" s="59"/>
      <c r="AS10" s="69"/>
      <c r="AT10">
        <v>71.7</v>
      </c>
      <c r="AV10">
        <v>191.4</v>
      </c>
      <c r="AW10">
        <v>27.3</v>
      </c>
    </row>
    <row r="11" spans="1:66">
      <c r="A11" s="663">
        <v>4</v>
      </c>
      <c r="B11" s="640">
        <v>2.75</v>
      </c>
      <c r="C11" s="155" t="s">
        <v>1549</v>
      </c>
      <c r="D11" s="155">
        <v>17</v>
      </c>
      <c r="E11">
        <f t="shared" si="3"/>
        <v>287</v>
      </c>
      <c r="F11" s="155">
        <v>110</v>
      </c>
      <c r="G11" s="155">
        <v>62</v>
      </c>
      <c r="H11" s="155" t="s">
        <v>1968</v>
      </c>
      <c r="I11" t="str">
        <f t="shared" si="1"/>
        <v>4y</v>
      </c>
      <c r="J11" s="362">
        <f t="shared" si="2"/>
        <v>6.2E-2</v>
      </c>
      <c r="K11" s="151" t="s">
        <v>1993</v>
      </c>
      <c r="L11" s="521" t="s">
        <v>1994</v>
      </c>
      <c r="M11">
        <v>6</v>
      </c>
      <c r="N11">
        <v>-51</v>
      </c>
      <c r="O11">
        <v>4</v>
      </c>
      <c r="P11">
        <v>57.8</v>
      </c>
      <c r="X11" s="521" t="s">
        <v>1995</v>
      </c>
      <c r="Y11">
        <v>66</v>
      </c>
      <c r="Z11">
        <v>-20</v>
      </c>
      <c r="AA11">
        <v>98.1</v>
      </c>
      <c r="AB11">
        <v>44.1</v>
      </c>
      <c r="AC11" s="151" t="s">
        <v>549</v>
      </c>
      <c r="AE11" s="551" t="s">
        <v>1996</v>
      </c>
      <c r="AF11">
        <v>19</v>
      </c>
      <c r="AG11">
        <v>-27</v>
      </c>
      <c r="AH11">
        <v>19</v>
      </c>
      <c r="AI11">
        <v>31.3</v>
      </c>
      <c r="AJ11">
        <v>82.8</v>
      </c>
      <c r="AP11" s="521" t="s">
        <v>113</v>
      </c>
      <c r="AQ11" s="151" t="s">
        <v>168</v>
      </c>
      <c r="AR11" s="59"/>
      <c r="AS11" s="69"/>
      <c r="AT11">
        <v>80.400000000000006</v>
      </c>
    </row>
    <row r="12" spans="1:66">
      <c r="A12" s="663">
        <v>4</v>
      </c>
      <c r="B12" s="640">
        <v>2.75</v>
      </c>
      <c r="C12" s="641" t="s">
        <v>1979</v>
      </c>
      <c r="D12" s="630">
        <v>17</v>
      </c>
      <c r="E12">
        <f t="shared" si="3"/>
        <v>287</v>
      </c>
      <c r="F12" s="630">
        <v>110</v>
      </c>
      <c r="G12" s="630">
        <v>84</v>
      </c>
      <c r="H12" s="630" t="s">
        <v>1973</v>
      </c>
      <c r="I12" t="str">
        <f t="shared" si="1"/>
        <v>4z</v>
      </c>
      <c r="J12" s="362">
        <f t="shared" si="2"/>
        <v>8.4000000000000005E-2</v>
      </c>
      <c r="K12" s="516">
        <v>1.2</v>
      </c>
      <c r="X12" s="521" t="s">
        <v>1997</v>
      </c>
      <c r="Y12">
        <v>96</v>
      </c>
      <c r="Z12">
        <v>15</v>
      </c>
      <c r="AA12" s="7">
        <v>124.9</v>
      </c>
      <c r="AB12" s="7">
        <v>4.9000000000000004</v>
      </c>
      <c r="AC12" s="151" t="s">
        <v>549</v>
      </c>
      <c r="AE12" s="551" t="s">
        <v>1998</v>
      </c>
      <c r="AF12">
        <v>8</v>
      </c>
      <c r="AG12">
        <v>-37</v>
      </c>
      <c r="AH12">
        <v>9</v>
      </c>
      <c r="AI12">
        <v>354.1</v>
      </c>
      <c r="AJ12">
        <v>71.3</v>
      </c>
      <c r="AK12" s="551" t="s">
        <v>341</v>
      </c>
      <c r="AL12">
        <v>153</v>
      </c>
      <c r="AM12">
        <v>-49</v>
      </c>
      <c r="AN12">
        <v>27</v>
      </c>
      <c r="AO12" s="151"/>
      <c r="AP12" s="521" t="s">
        <v>469</v>
      </c>
      <c r="AQ12" s="151" t="s">
        <v>168</v>
      </c>
      <c r="AR12" s="59"/>
      <c r="AS12" s="69"/>
      <c r="AT12">
        <v>80.8</v>
      </c>
      <c r="AV12">
        <v>194.7</v>
      </c>
      <c r="AW12">
        <v>33</v>
      </c>
    </row>
    <row r="13" spans="1:66">
      <c r="A13" s="658">
        <v>5</v>
      </c>
      <c r="B13" s="638">
        <v>3.05</v>
      </c>
      <c r="C13" s="513" t="s">
        <v>137</v>
      </c>
      <c r="D13" s="513">
        <v>10</v>
      </c>
      <c r="E13">
        <f t="shared" si="3"/>
        <v>280</v>
      </c>
      <c r="F13" s="513">
        <v>103</v>
      </c>
      <c r="G13" s="513">
        <v>56</v>
      </c>
      <c r="H13" s="513" t="s">
        <v>1968</v>
      </c>
      <c r="I13" t="str">
        <f t="shared" si="1"/>
        <v>5x</v>
      </c>
      <c r="J13" s="362">
        <f t="shared" si="2"/>
        <v>5.6000000000000001E-2</v>
      </c>
      <c r="K13" s="151" t="s">
        <v>1684</v>
      </c>
      <c r="L13" s="521" t="s">
        <v>1999</v>
      </c>
      <c r="M13">
        <v>45</v>
      </c>
      <c r="N13">
        <v>11</v>
      </c>
      <c r="O13">
        <v>133.1</v>
      </c>
      <c r="P13">
        <v>47.8</v>
      </c>
      <c r="AA13" s="7"/>
      <c r="AB13" s="7"/>
      <c r="AK13" s="551" t="s">
        <v>341</v>
      </c>
      <c r="AL13">
        <v>297</v>
      </c>
      <c r="AM13">
        <v>11</v>
      </c>
      <c r="AN13">
        <v>25</v>
      </c>
      <c r="AO13" s="151" t="s">
        <v>66</v>
      </c>
      <c r="AP13" s="521" t="s">
        <v>105</v>
      </c>
      <c r="AQ13" s="151" t="s">
        <v>107</v>
      </c>
      <c r="AR13" s="59"/>
      <c r="AS13" s="69"/>
      <c r="AU13">
        <v>78</v>
      </c>
      <c r="AV13">
        <v>201.7</v>
      </c>
      <c r="AW13">
        <v>25.4</v>
      </c>
    </row>
    <row r="14" spans="1:66">
      <c r="A14" s="659">
        <v>5</v>
      </c>
      <c r="B14" s="638">
        <v>3.05</v>
      </c>
      <c r="C14" s="513" t="s">
        <v>1549</v>
      </c>
      <c r="D14" s="513">
        <v>10</v>
      </c>
      <c r="E14">
        <f t="shared" si="3"/>
        <v>280</v>
      </c>
      <c r="F14" s="513">
        <v>103</v>
      </c>
      <c r="G14" s="513">
        <v>60</v>
      </c>
      <c r="H14" s="513" t="s">
        <v>1973</v>
      </c>
      <c r="I14" t="str">
        <f t="shared" si="1"/>
        <v>5y</v>
      </c>
      <c r="J14" s="362">
        <f t="shared" si="2"/>
        <v>0.06</v>
      </c>
      <c r="L14" s="521" t="s">
        <v>2000</v>
      </c>
      <c r="M14">
        <v>13</v>
      </c>
      <c r="N14">
        <v>18</v>
      </c>
      <c r="O14">
        <v>184.5</v>
      </c>
      <c r="P14">
        <v>58.9</v>
      </c>
      <c r="Q14" s="639" t="s">
        <v>137</v>
      </c>
      <c r="AA14" s="7"/>
      <c r="AB14" s="7"/>
      <c r="AE14" s="551" t="s">
        <v>694</v>
      </c>
      <c r="AF14">
        <v>3</v>
      </c>
      <c r="AG14">
        <v>-8</v>
      </c>
      <c r="AH14">
        <v>6</v>
      </c>
      <c r="AI14">
        <v>244.7</v>
      </c>
      <c r="AJ14">
        <v>81.5</v>
      </c>
      <c r="AK14" s="551" t="s">
        <v>2001</v>
      </c>
      <c r="AL14">
        <v>274</v>
      </c>
      <c r="AM14">
        <v>-5</v>
      </c>
      <c r="AN14">
        <v>27</v>
      </c>
      <c r="AO14" s="151" t="s">
        <v>66</v>
      </c>
      <c r="AP14" s="521" t="s">
        <v>159</v>
      </c>
      <c r="AQ14" s="151" t="s">
        <v>328</v>
      </c>
      <c r="AR14" s="59"/>
      <c r="AS14" s="69"/>
      <c r="AU14">
        <v>86.6</v>
      </c>
      <c r="AV14">
        <v>186.1</v>
      </c>
      <c r="AW14">
        <v>22.7</v>
      </c>
    </row>
    <row r="15" spans="1:66">
      <c r="A15" s="661">
        <v>5</v>
      </c>
      <c r="B15" s="638">
        <v>3.05</v>
      </c>
      <c r="C15" s="513" t="s">
        <v>1979</v>
      </c>
      <c r="D15" s="513">
        <v>10</v>
      </c>
      <c r="E15">
        <f t="shared" si="3"/>
        <v>280</v>
      </c>
      <c r="F15" s="513">
        <v>103</v>
      </c>
      <c r="G15" s="513">
        <v>140</v>
      </c>
      <c r="H15" s="513" t="s">
        <v>1973</v>
      </c>
      <c r="I15" t="str">
        <f t="shared" si="1"/>
        <v>5z</v>
      </c>
      <c r="J15" s="362">
        <f t="shared" si="2"/>
        <v>0.14000000000000001</v>
      </c>
      <c r="K15" s="516">
        <v>2.5</v>
      </c>
      <c r="L15" s="521" t="s">
        <v>59</v>
      </c>
      <c r="M15">
        <v>29</v>
      </c>
      <c r="N15">
        <v>27</v>
      </c>
      <c r="O15" s="7">
        <v>165.3</v>
      </c>
      <c r="P15" s="7">
        <v>46</v>
      </c>
      <c r="V15" s="591"/>
      <c r="W15" s="591"/>
      <c r="AA15" s="7"/>
      <c r="AB15" s="7"/>
      <c r="AE15" s="521" t="s">
        <v>2002</v>
      </c>
      <c r="AF15">
        <v>41</v>
      </c>
      <c r="AG15">
        <v>-12</v>
      </c>
      <c r="AH15">
        <v>15</v>
      </c>
      <c r="AI15">
        <v>98.4</v>
      </c>
      <c r="AJ15">
        <v>59.7</v>
      </c>
      <c r="AK15" s="551" t="s">
        <v>1728</v>
      </c>
      <c r="AL15">
        <v>266</v>
      </c>
      <c r="AM15">
        <v>-67</v>
      </c>
      <c r="AN15">
        <v>26</v>
      </c>
      <c r="AO15" s="151" t="s">
        <v>66</v>
      </c>
      <c r="AP15" s="521" t="s">
        <v>65</v>
      </c>
      <c r="AQ15" s="151" t="s">
        <v>67</v>
      </c>
      <c r="AR15" s="59"/>
      <c r="AS15" s="69"/>
      <c r="AU15">
        <v>80.5</v>
      </c>
      <c r="AV15">
        <v>195.3</v>
      </c>
      <c r="AW15">
        <v>8</v>
      </c>
    </row>
    <row r="16" spans="1:66">
      <c r="A16" s="664">
        <v>6</v>
      </c>
      <c r="B16" s="640">
        <v>3.35</v>
      </c>
      <c r="C16" s="626" t="s">
        <v>137</v>
      </c>
      <c r="D16" s="626">
        <v>20</v>
      </c>
      <c r="E16">
        <f t="shared" si="3"/>
        <v>290</v>
      </c>
      <c r="F16" s="626">
        <v>115</v>
      </c>
      <c r="G16" s="626">
        <v>327</v>
      </c>
      <c r="H16" s="626" t="s">
        <v>1973</v>
      </c>
      <c r="I16" t="str">
        <f t="shared" si="1"/>
        <v>6x</v>
      </c>
      <c r="J16" s="362">
        <f t="shared" si="2"/>
        <v>0.32700000000000001</v>
      </c>
      <c r="L16" s="521" t="s">
        <v>243</v>
      </c>
      <c r="M16">
        <v>252</v>
      </c>
      <c r="N16">
        <v>-44</v>
      </c>
      <c r="O16" s="7">
        <v>345.2</v>
      </c>
      <c r="P16" s="7">
        <v>-6.2</v>
      </c>
      <c r="R16" s="521" t="s">
        <v>1731</v>
      </c>
      <c r="S16">
        <v>102</v>
      </c>
      <c r="T16">
        <v>-53</v>
      </c>
      <c r="U16">
        <v>60.9</v>
      </c>
      <c r="V16">
        <v>24.4</v>
      </c>
      <c r="W16" s="151" t="s">
        <v>2003</v>
      </c>
      <c r="X16" s="551" t="s">
        <v>2004</v>
      </c>
      <c r="Y16">
        <f>(65+71)/2</f>
        <v>68</v>
      </c>
      <c r="Z16">
        <f>-(13+6)/2</f>
        <v>-9.5</v>
      </c>
      <c r="AA16" s="7">
        <v>120</v>
      </c>
      <c r="AB16" s="7">
        <v>41.9</v>
      </c>
      <c r="AC16" s="151" t="s">
        <v>549</v>
      </c>
      <c r="AD16" s="151"/>
      <c r="AP16" s="521" t="s">
        <v>39</v>
      </c>
      <c r="AQ16" s="151" t="s">
        <v>181</v>
      </c>
      <c r="AR16" s="59"/>
      <c r="AS16" s="60"/>
    </row>
    <row r="17" spans="1:68">
      <c r="A17" s="664">
        <v>6</v>
      </c>
      <c r="B17" s="640">
        <v>3.35</v>
      </c>
      <c r="C17" s="630" t="s">
        <v>1549</v>
      </c>
      <c r="D17" s="630">
        <v>20</v>
      </c>
      <c r="E17">
        <f t="shared" si="3"/>
        <v>290</v>
      </c>
      <c r="F17" s="630">
        <v>115</v>
      </c>
      <c r="G17" s="630">
        <v>81</v>
      </c>
      <c r="H17" s="630" t="s">
        <v>1973</v>
      </c>
      <c r="I17" t="str">
        <f t="shared" si="1"/>
        <v>6y</v>
      </c>
      <c r="J17" s="362">
        <f t="shared" si="2"/>
        <v>8.1000000000000003E-2</v>
      </c>
      <c r="K17" s="516" t="s">
        <v>2005</v>
      </c>
      <c r="O17" s="7"/>
      <c r="P17" s="7"/>
      <c r="R17" s="521" t="s">
        <v>2006</v>
      </c>
      <c r="S17">
        <v>168</v>
      </c>
      <c r="T17">
        <v>-9</v>
      </c>
      <c r="U17" s="7">
        <v>66.599999999999994</v>
      </c>
      <c r="V17" s="7">
        <v>-43.9</v>
      </c>
      <c r="W17" s="516" t="s">
        <v>1975</v>
      </c>
      <c r="X17" s="521" t="s">
        <v>2007</v>
      </c>
      <c r="Y17">
        <v>292</v>
      </c>
      <c r="Z17">
        <v>10</v>
      </c>
      <c r="AA17" s="7">
        <v>280.10000000000002</v>
      </c>
      <c r="AB17" s="7">
        <v>-2.4</v>
      </c>
      <c r="AC17" s="151" t="s">
        <v>549</v>
      </c>
      <c r="AD17" s="151" t="s">
        <v>2008</v>
      </c>
      <c r="AE17" s="642" t="s">
        <v>1997</v>
      </c>
      <c r="AF17">
        <v>28</v>
      </c>
      <c r="AG17">
        <v>-25</v>
      </c>
      <c r="AH17">
        <v>37</v>
      </c>
      <c r="AI17">
        <v>108.3</v>
      </c>
      <c r="AJ17">
        <v>82.8</v>
      </c>
      <c r="AK17" s="642" t="s">
        <v>59</v>
      </c>
      <c r="AL17">
        <v>353</v>
      </c>
      <c r="AM17">
        <v>58</v>
      </c>
      <c r="AN17">
        <v>21</v>
      </c>
      <c r="AO17" s="151" t="s">
        <v>87</v>
      </c>
      <c r="AP17" s="521" t="s">
        <v>105</v>
      </c>
      <c r="AQ17" s="151" t="s">
        <v>88</v>
      </c>
      <c r="AR17" s="59"/>
      <c r="AS17" s="60"/>
      <c r="AU17">
        <v>84.9</v>
      </c>
      <c r="AV17">
        <v>190.7</v>
      </c>
      <c r="AW17">
        <v>30.8</v>
      </c>
    </row>
    <row r="18" spans="1:68">
      <c r="A18" s="658">
        <v>7</v>
      </c>
      <c r="B18" s="638">
        <v>4.3</v>
      </c>
      <c r="C18" s="513" t="s">
        <v>137</v>
      </c>
      <c r="D18" s="513">
        <v>32</v>
      </c>
      <c r="E18">
        <f t="shared" si="3"/>
        <v>302</v>
      </c>
      <c r="F18" s="513">
        <v>54</v>
      </c>
      <c r="G18" s="513">
        <v>53</v>
      </c>
      <c r="H18" s="513" t="s">
        <v>1984</v>
      </c>
      <c r="I18" t="str">
        <f t="shared" si="1"/>
        <v>7x</v>
      </c>
      <c r="J18" s="362">
        <f t="shared" si="2"/>
        <v>5.2999999999999999E-2</v>
      </c>
      <c r="K18">
        <v>0.6</v>
      </c>
      <c r="O18" s="7"/>
      <c r="P18" s="7"/>
      <c r="U18" s="7"/>
      <c r="V18" s="7"/>
      <c r="W18" s="7"/>
      <c r="X18" s="521" t="s">
        <v>2009</v>
      </c>
      <c r="Y18">
        <v>312</v>
      </c>
      <c r="Z18">
        <v>36</v>
      </c>
      <c r="AA18" s="7">
        <v>275.7</v>
      </c>
      <c r="AB18" s="7">
        <v>27.3</v>
      </c>
      <c r="AC18" s="151" t="s">
        <v>549</v>
      </c>
      <c r="AD18" s="151" t="s">
        <v>2010</v>
      </c>
      <c r="AP18" s="521" t="s">
        <v>39</v>
      </c>
      <c r="AQ18" s="151" t="s">
        <v>181</v>
      </c>
      <c r="AR18" s="70"/>
      <c r="AS18" s="60"/>
    </row>
    <row r="19" spans="1:68">
      <c r="A19" s="659">
        <v>7</v>
      </c>
      <c r="B19" s="638">
        <v>4.3</v>
      </c>
      <c r="C19" s="513" t="s">
        <v>1549</v>
      </c>
      <c r="D19" s="513">
        <v>32</v>
      </c>
      <c r="E19">
        <f t="shared" si="3"/>
        <v>302</v>
      </c>
      <c r="F19" s="513">
        <v>54</v>
      </c>
      <c r="G19" s="513">
        <v>45</v>
      </c>
      <c r="H19" s="513" t="s">
        <v>1973</v>
      </c>
      <c r="I19" t="str">
        <f t="shared" si="1"/>
        <v>7y</v>
      </c>
      <c r="J19" s="362">
        <f t="shared" si="2"/>
        <v>4.4999999999999998E-2</v>
      </c>
      <c r="K19">
        <v>1.7</v>
      </c>
      <c r="O19" s="7"/>
      <c r="P19" s="7"/>
      <c r="R19" s="551" t="s">
        <v>2011</v>
      </c>
      <c r="S19" s="643">
        <v>72</v>
      </c>
      <c r="T19" s="643">
        <v>-1</v>
      </c>
      <c r="U19" s="7">
        <v>86.2</v>
      </c>
      <c r="V19" s="7">
        <v>37.5</v>
      </c>
      <c r="W19" s="516" t="s">
        <v>549</v>
      </c>
      <c r="X19" s="521" t="s">
        <v>2012</v>
      </c>
      <c r="Y19">
        <v>89</v>
      </c>
      <c r="Z19">
        <v>-18</v>
      </c>
      <c r="AA19" s="7">
        <v>87.2</v>
      </c>
      <c r="AB19" s="7">
        <v>13.7</v>
      </c>
      <c r="AC19" s="151" t="s">
        <v>549</v>
      </c>
      <c r="AP19" s="521" t="s">
        <v>39</v>
      </c>
      <c r="AQ19" s="151" t="s">
        <v>181</v>
      </c>
      <c r="AR19" s="70"/>
      <c r="AS19" s="60"/>
    </row>
    <row r="20" spans="1:68">
      <c r="A20" s="665" t="s">
        <v>2013</v>
      </c>
      <c r="B20" s="625">
        <v>4.75</v>
      </c>
      <c r="C20" s="626" t="s">
        <v>137</v>
      </c>
      <c r="D20" s="626">
        <v>34</v>
      </c>
      <c r="E20">
        <f t="shared" si="3"/>
        <v>304</v>
      </c>
      <c r="F20" s="626">
        <v>51</v>
      </c>
      <c r="G20" s="626">
        <v>339</v>
      </c>
      <c r="H20" s="626" t="s">
        <v>1968</v>
      </c>
      <c r="I20" t="str">
        <f t="shared" si="1"/>
        <v>7.2x</v>
      </c>
      <c r="J20" s="362">
        <f t="shared" si="2"/>
        <v>0.33900000000000002</v>
      </c>
      <c r="K20" s="151" t="s">
        <v>2014</v>
      </c>
      <c r="O20" s="7"/>
      <c r="P20" s="7"/>
      <c r="S20" s="643"/>
      <c r="T20" s="643"/>
      <c r="U20" s="7"/>
      <c r="V20" s="7"/>
      <c r="W20" s="7"/>
      <c r="AA20" s="7"/>
      <c r="AB20" s="7"/>
      <c r="AD20" s="151" t="s">
        <v>2015</v>
      </c>
      <c r="AE20" s="551" t="s">
        <v>1972</v>
      </c>
      <c r="AF20">
        <v>323</v>
      </c>
      <c r="AG20">
        <v>-16</v>
      </c>
      <c r="AH20">
        <v>6</v>
      </c>
      <c r="AI20">
        <v>328.3</v>
      </c>
      <c r="AJ20">
        <v>4</v>
      </c>
      <c r="AK20" s="551" t="s">
        <v>2016</v>
      </c>
      <c r="AL20">
        <v>137</v>
      </c>
      <c r="AM20">
        <v>-79</v>
      </c>
      <c r="AN20">
        <v>11</v>
      </c>
      <c r="AO20" s="151" t="s">
        <v>66</v>
      </c>
      <c r="AP20" s="521" t="s">
        <v>65</v>
      </c>
      <c r="AQ20" s="151" t="s">
        <v>67</v>
      </c>
      <c r="AR20" s="59"/>
      <c r="AS20" s="69"/>
      <c r="AU20">
        <v>81.599999999999994</v>
      </c>
      <c r="AV20">
        <v>186.8</v>
      </c>
      <c r="AW20">
        <v>7.2</v>
      </c>
    </row>
    <row r="21" spans="1:68">
      <c r="A21" s="666" t="s">
        <v>2013</v>
      </c>
      <c r="B21" s="625">
        <v>4.75</v>
      </c>
      <c r="C21" s="630" t="s">
        <v>1549</v>
      </c>
      <c r="D21" s="630">
        <v>34</v>
      </c>
      <c r="E21">
        <f t="shared" si="3"/>
        <v>304</v>
      </c>
      <c r="F21" s="630">
        <v>51</v>
      </c>
      <c r="G21" s="630">
        <v>50</v>
      </c>
      <c r="H21" s="630" t="s">
        <v>1989</v>
      </c>
      <c r="I21" t="str">
        <f t="shared" si="1"/>
        <v>7.2y</v>
      </c>
      <c r="J21" s="362">
        <f t="shared" si="2"/>
        <v>0.05</v>
      </c>
      <c r="K21">
        <v>1.7</v>
      </c>
      <c r="L21" s="551" t="s">
        <v>1741</v>
      </c>
      <c r="M21">
        <v>28</v>
      </c>
      <c r="N21">
        <v>21</v>
      </c>
      <c r="O21" s="7">
        <v>16.3</v>
      </c>
      <c r="P21" s="7">
        <v>71.3</v>
      </c>
      <c r="Q21" s="639" t="s">
        <v>137</v>
      </c>
      <c r="S21" s="643"/>
      <c r="T21" s="643"/>
      <c r="U21" s="7"/>
      <c r="V21" s="7"/>
      <c r="W21" s="7"/>
      <c r="X21" s="521" t="s">
        <v>2017</v>
      </c>
      <c r="Y21">
        <v>81</v>
      </c>
      <c r="Z21">
        <v>42</v>
      </c>
      <c r="AA21" s="7">
        <v>144.30000000000001</v>
      </c>
      <c r="AB21" s="7">
        <v>54.6</v>
      </c>
      <c r="AC21" s="151" t="s">
        <v>549</v>
      </c>
      <c r="AK21" s="551" t="s">
        <v>341</v>
      </c>
      <c r="AL21">
        <v>279</v>
      </c>
      <c r="AM21">
        <v>33</v>
      </c>
      <c r="AN21">
        <v>22</v>
      </c>
      <c r="AO21" s="151" t="s">
        <v>66</v>
      </c>
      <c r="AP21" s="521" t="s">
        <v>105</v>
      </c>
      <c r="AQ21" s="151" t="s">
        <v>107</v>
      </c>
      <c r="AR21" s="59"/>
      <c r="AS21" s="60"/>
      <c r="AU21">
        <v>78.5</v>
      </c>
      <c r="AV21">
        <v>178.4</v>
      </c>
      <c r="AW21">
        <v>15.8</v>
      </c>
    </row>
    <row r="22" spans="1:68">
      <c r="A22" s="667">
        <v>8</v>
      </c>
      <c r="B22" s="644">
        <v>4.8</v>
      </c>
      <c r="C22" s="645"/>
      <c r="D22" s="645">
        <v>23</v>
      </c>
      <c r="E22">
        <f t="shared" si="3"/>
        <v>293</v>
      </c>
      <c r="F22" s="645">
        <v>72</v>
      </c>
      <c r="G22" s="645">
        <v>23</v>
      </c>
      <c r="H22" s="646" t="s">
        <v>1968</v>
      </c>
      <c r="I22" t="str">
        <f t="shared" si="1"/>
        <v>8</v>
      </c>
      <c r="J22" s="362">
        <f t="shared" si="2"/>
        <v>2.3E-2</v>
      </c>
      <c r="K22">
        <v>1.9</v>
      </c>
      <c r="O22" s="7"/>
      <c r="P22" s="7"/>
      <c r="R22" s="551" t="s">
        <v>1971</v>
      </c>
      <c r="S22" s="643">
        <v>114</v>
      </c>
      <c r="T22" s="643">
        <v>-7</v>
      </c>
      <c r="U22" s="7">
        <v>106.6</v>
      </c>
      <c r="V22" s="7">
        <v>-3.1</v>
      </c>
      <c r="W22" s="516" t="s">
        <v>549</v>
      </c>
      <c r="X22" s="521" t="s">
        <v>2018</v>
      </c>
      <c r="Y22">
        <v>297</v>
      </c>
      <c r="Z22">
        <v>33</v>
      </c>
      <c r="AA22" s="7">
        <v>262.10000000000002</v>
      </c>
      <c r="AB22" s="7">
        <v>12.9</v>
      </c>
      <c r="AC22" s="151" t="s">
        <v>549</v>
      </c>
      <c r="AD22" s="151" t="s">
        <v>2010</v>
      </c>
      <c r="AP22" s="521" t="s">
        <v>39</v>
      </c>
      <c r="AQ22" s="151" t="s">
        <v>181</v>
      </c>
      <c r="AR22" s="70"/>
      <c r="AS22" s="60"/>
      <c r="AY22" s="151"/>
      <c r="BI22" s="151"/>
    </row>
    <row r="23" spans="1:68">
      <c r="A23" s="668" t="s">
        <v>2019</v>
      </c>
      <c r="B23" s="644">
        <v>4.9000000000000004</v>
      </c>
      <c r="C23" s="645"/>
      <c r="D23" s="645">
        <v>10</v>
      </c>
      <c r="E23">
        <f t="shared" si="3"/>
        <v>280</v>
      </c>
      <c r="F23" s="645">
        <v>134</v>
      </c>
      <c r="G23" s="645">
        <v>106</v>
      </c>
      <c r="H23" s="646" t="s">
        <v>1973</v>
      </c>
      <c r="I23" t="str">
        <f t="shared" si="1"/>
        <v>8A</v>
      </c>
      <c r="J23" s="362">
        <f t="shared" si="2"/>
        <v>0.106</v>
      </c>
      <c r="K23">
        <v>1.4</v>
      </c>
      <c r="L23" s="521" t="s">
        <v>2020</v>
      </c>
      <c r="M23">
        <v>324</v>
      </c>
      <c r="N23">
        <v>-52</v>
      </c>
      <c r="O23" s="7">
        <v>311.3</v>
      </c>
      <c r="P23" s="7">
        <v>58.8</v>
      </c>
      <c r="U23" s="7"/>
      <c r="V23" s="7"/>
      <c r="W23" s="7"/>
      <c r="AA23" s="7"/>
      <c r="AB23" s="7"/>
      <c r="AD23" s="151" t="s">
        <v>2021</v>
      </c>
      <c r="AE23" s="551" t="s">
        <v>64</v>
      </c>
      <c r="AF23">
        <v>17</v>
      </c>
      <c r="AG23">
        <v>-32</v>
      </c>
      <c r="AH23">
        <v>4</v>
      </c>
      <c r="AI23">
        <v>163.1</v>
      </c>
      <c r="AJ23">
        <v>76.8</v>
      </c>
      <c r="AK23" s="551" t="s">
        <v>341</v>
      </c>
      <c r="AL23">
        <v>129</v>
      </c>
      <c r="AM23">
        <v>31</v>
      </c>
      <c r="AN23">
        <v>17</v>
      </c>
      <c r="AP23" s="521" t="s">
        <v>469</v>
      </c>
      <c r="AQ23" s="151" t="s">
        <v>168</v>
      </c>
      <c r="AR23" s="59"/>
      <c r="AS23" s="69"/>
      <c r="AT23">
        <v>80.8</v>
      </c>
      <c r="AV23">
        <v>222.3</v>
      </c>
      <c r="AW23">
        <v>5.5</v>
      </c>
      <c r="AY23" s="151"/>
      <c r="BI23" s="647"/>
    </row>
    <row r="24" spans="1:68">
      <c r="A24" s="667">
        <v>9</v>
      </c>
      <c r="B24" s="644">
        <v>4.95</v>
      </c>
      <c r="C24" s="645"/>
      <c r="D24" s="645">
        <v>23</v>
      </c>
      <c r="E24">
        <f t="shared" si="3"/>
        <v>293</v>
      </c>
      <c r="F24" s="645">
        <v>125</v>
      </c>
      <c r="G24" s="645">
        <v>282</v>
      </c>
      <c r="H24" s="646" t="s">
        <v>1968</v>
      </c>
      <c r="I24" t="str">
        <f t="shared" si="1"/>
        <v>9</v>
      </c>
      <c r="J24" s="362">
        <f t="shared" si="2"/>
        <v>0.28200000000000003</v>
      </c>
      <c r="K24">
        <v>1</v>
      </c>
      <c r="O24" s="7"/>
      <c r="P24" s="7"/>
      <c r="R24" s="551" t="s">
        <v>2022</v>
      </c>
      <c r="S24">
        <v>226</v>
      </c>
      <c r="T24">
        <v>-17</v>
      </c>
      <c r="U24" s="7">
        <v>356.3</v>
      </c>
      <c r="V24" s="7">
        <v>-33.6</v>
      </c>
      <c r="W24" s="516" t="s">
        <v>2003</v>
      </c>
      <c r="AA24" s="7"/>
      <c r="AB24" s="7"/>
      <c r="AD24" s="151" t="s">
        <v>2023</v>
      </c>
      <c r="AE24" s="627" t="s">
        <v>2024</v>
      </c>
      <c r="AF24">
        <v>187</v>
      </c>
      <c r="AG24">
        <v>14</v>
      </c>
      <c r="AH24">
        <v>11</v>
      </c>
      <c r="AI24">
        <v>61.5</v>
      </c>
      <c r="AJ24">
        <v>-64.5</v>
      </c>
      <c r="AK24" s="551" t="s">
        <v>1972</v>
      </c>
      <c r="AL24">
        <v>115</v>
      </c>
      <c r="AM24">
        <v>-53</v>
      </c>
      <c r="AN24">
        <v>10</v>
      </c>
      <c r="AO24" s="151" t="s">
        <v>66</v>
      </c>
      <c r="AP24" s="521" t="s">
        <v>159</v>
      </c>
      <c r="AQ24" s="151" t="s">
        <v>114</v>
      </c>
      <c r="AR24" s="72"/>
      <c r="AS24" s="60"/>
      <c r="AU24">
        <v>-83.3</v>
      </c>
      <c r="AV24">
        <v>183.9</v>
      </c>
      <c r="AW24">
        <v>15.2</v>
      </c>
      <c r="AY24" s="151"/>
    </row>
    <row r="25" spans="1:68">
      <c r="A25" s="668" t="s">
        <v>2025</v>
      </c>
      <c r="B25" s="644">
        <v>5.05</v>
      </c>
      <c r="C25" s="645"/>
      <c r="D25" s="645">
        <v>30</v>
      </c>
      <c r="E25">
        <f t="shared" si="3"/>
        <v>300</v>
      </c>
      <c r="F25" s="645">
        <v>128</v>
      </c>
      <c r="G25" s="645">
        <v>68</v>
      </c>
      <c r="H25" s="646" t="s">
        <v>1968</v>
      </c>
      <c r="I25" t="str">
        <f t="shared" si="1"/>
        <v>9A</v>
      </c>
      <c r="J25" s="362">
        <f t="shared" si="2"/>
        <v>6.8000000000000005E-2</v>
      </c>
      <c r="K25">
        <v>1.4</v>
      </c>
      <c r="L25" s="551" t="s">
        <v>2026</v>
      </c>
      <c r="M25">
        <v>27</v>
      </c>
      <c r="N25">
        <v>-79</v>
      </c>
      <c r="O25" s="7">
        <v>29.1</v>
      </c>
      <c r="P25" s="7">
        <v>49</v>
      </c>
      <c r="Q25" s="639" t="s">
        <v>137</v>
      </c>
      <c r="U25" s="7"/>
      <c r="V25" s="7"/>
      <c r="W25" s="7"/>
      <c r="X25" s="521" t="s">
        <v>2027</v>
      </c>
      <c r="Y25">
        <v>253</v>
      </c>
      <c r="Z25">
        <v>-41</v>
      </c>
      <c r="AA25" s="7">
        <v>359</v>
      </c>
      <c r="AB25" s="7">
        <v>-1.8</v>
      </c>
      <c r="AC25" s="151" t="s">
        <v>549</v>
      </c>
      <c r="AD25" s="151" t="s">
        <v>2028</v>
      </c>
      <c r="AE25" s="521" t="s">
        <v>2029</v>
      </c>
      <c r="AF25">
        <v>339</v>
      </c>
      <c r="AG25">
        <v>-15</v>
      </c>
      <c r="AH25">
        <v>16</v>
      </c>
      <c r="AI25">
        <v>287.2</v>
      </c>
      <c r="AJ25">
        <v>39.700000000000003</v>
      </c>
      <c r="AK25" s="552" t="s">
        <v>2030</v>
      </c>
      <c r="AL25" s="7">
        <v>267</v>
      </c>
      <c r="AM25" s="7">
        <v>-9</v>
      </c>
      <c r="AN25" s="7">
        <v>30</v>
      </c>
      <c r="AO25" s="151" t="s">
        <v>66</v>
      </c>
      <c r="AP25" s="521" t="s">
        <v>159</v>
      </c>
      <c r="AQ25" s="151" t="s">
        <v>586</v>
      </c>
      <c r="AR25" s="59"/>
      <c r="AS25" s="60"/>
      <c r="AU25">
        <v>81.599999999999994</v>
      </c>
      <c r="AV25">
        <v>181</v>
      </c>
      <c r="AW25">
        <v>23.9</v>
      </c>
      <c r="AY25" s="151"/>
    </row>
    <row r="26" spans="1:68">
      <c r="A26" s="667">
        <v>10</v>
      </c>
      <c r="B26" s="644">
        <v>5.0999999999999996</v>
      </c>
      <c r="C26" s="645"/>
      <c r="D26" s="645">
        <v>25</v>
      </c>
      <c r="E26">
        <f t="shared" si="3"/>
        <v>295</v>
      </c>
      <c r="F26" s="645">
        <v>119</v>
      </c>
      <c r="G26" s="645">
        <v>94</v>
      </c>
      <c r="H26" s="646" t="s">
        <v>1973</v>
      </c>
      <c r="I26" t="str">
        <f t="shared" si="1"/>
        <v>10</v>
      </c>
      <c r="J26" s="362">
        <f t="shared" si="2"/>
        <v>9.4E-2</v>
      </c>
      <c r="K26">
        <v>1.7</v>
      </c>
      <c r="O26" s="7"/>
      <c r="P26" s="7"/>
      <c r="R26" s="521" t="s">
        <v>2031</v>
      </c>
      <c r="S26">
        <v>254</v>
      </c>
      <c r="T26">
        <v>71</v>
      </c>
      <c r="U26" s="7">
        <v>223.8</v>
      </c>
      <c r="V26" s="7">
        <v>-40.200000000000003</v>
      </c>
      <c r="W26" s="516" t="s">
        <v>2032</v>
      </c>
      <c r="AA26" s="7"/>
      <c r="AB26" s="7"/>
      <c r="AD26" s="151" t="s">
        <v>2033</v>
      </c>
      <c r="AK26" s="551" t="s">
        <v>1998</v>
      </c>
      <c r="AL26">
        <v>144</v>
      </c>
      <c r="AM26">
        <v>10</v>
      </c>
      <c r="AN26">
        <v>17</v>
      </c>
      <c r="AO26" s="151" t="s">
        <v>106</v>
      </c>
      <c r="AP26" s="521" t="s">
        <v>105</v>
      </c>
      <c r="AQ26" s="151" t="s">
        <v>88</v>
      </c>
      <c r="AR26" s="59"/>
      <c r="AS26" s="60"/>
      <c r="AU26">
        <v>42.5</v>
      </c>
      <c r="AV26">
        <v>238</v>
      </c>
      <c r="AW26">
        <v>21.4</v>
      </c>
    </row>
    <row r="27" spans="1:68">
      <c r="A27" s="667" t="s">
        <v>2034</v>
      </c>
      <c r="B27" s="644">
        <v>5.3</v>
      </c>
      <c r="C27" s="645"/>
      <c r="D27" s="645">
        <v>15</v>
      </c>
      <c r="E27">
        <f t="shared" si="3"/>
        <v>285</v>
      </c>
      <c r="F27" s="645">
        <v>129</v>
      </c>
      <c r="G27" s="645">
        <v>45</v>
      </c>
      <c r="H27" s="646" t="s">
        <v>1992</v>
      </c>
      <c r="I27" t="str">
        <f t="shared" si="1"/>
        <v>10A</v>
      </c>
      <c r="J27" s="362">
        <f t="shared" si="2"/>
        <v>4.4999999999999998E-2</v>
      </c>
      <c r="K27">
        <v>1.6</v>
      </c>
      <c r="O27" s="7"/>
      <c r="P27" s="7"/>
      <c r="U27" s="7"/>
      <c r="V27" s="7"/>
      <c r="W27" s="7"/>
      <c r="AA27" s="7"/>
      <c r="AB27" s="7"/>
      <c r="AD27" s="151" t="s">
        <v>2035</v>
      </c>
      <c r="AE27" s="521" t="s">
        <v>59</v>
      </c>
      <c r="AF27">
        <v>25</v>
      </c>
      <c r="AG27">
        <v>-15</v>
      </c>
      <c r="AH27">
        <v>23</v>
      </c>
      <c r="AI27">
        <v>172.1</v>
      </c>
      <c r="AJ27">
        <v>64.400000000000006</v>
      </c>
      <c r="AK27" s="551" t="s">
        <v>341</v>
      </c>
      <c r="AL27">
        <v>310</v>
      </c>
      <c r="AM27">
        <v>69</v>
      </c>
      <c r="AN27">
        <v>19</v>
      </c>
      <c r="AP27" s="521" t="s">
        <v>113</v>
      </c>
      <c r="AQ27" s="151" t="s">
        <v>67</v>
      </c>
      <c r="AR27" s="59"/>
      <c r="AS27" s="60"/>
      <c r="AT27">
        <v>74.2</v>
      </c>
      <c r="AV27">
        <v>185.8</v>
      </c>
      <c r="AW27">
        <v>12.2</v>
      </c>
      <c r="AZ27" s="151"/>
    </row>
    <row r="28" spans="1:68">
      <c r="A28" s="668">
        <v>12</v>
      </c>
      <c r="B28" s="644">
        <v>5.55</v>
      </c>
      <c r="C28" s="645"/>
      <c r="D28" s="645">
        <v>27</v>
      </c>
      <c r="E28">
        <f t="shared" si="3"/>
        <v>297</v>
      </c>
      <c r="F28" s="645">
        <v>128</v>
      </c>
      <c r="G28" s="645">
        <v>79</v>
      </c>
      <c r="H28" s="646" t="s">
        <v>1989</v>
      </c>
      <c r="I28" t="str">
        <f t="shared" si="1"/>
        <v>12</v>
      </c>
      <c r="J28" s="362">
        <f t="shared" si="2"/>
        <v>7.9000000000000001E-2</v>
      </c>
      <c r="K28">
        <v>1.7</v>
      </c>
      <c r="O28" s="7"/>
      <c r="P28" s="7"/>
      <c r="U28" s="7"/>
      <c r="V28" s="7"/>
      <c r="W28" s="7"/>
      <c r="X28" s="521" t="s">
        <v>2036</v>
      </c>
      <c r="Y28">
        <v>45</v>
      </c>
      <c r="Z28">
        <v>-29</v>
      </c>
      <c r="AA28" s="7">
        <v>142.69999999999999</v>
      </c>
      <c r="AB28" s="7">
        <v>72.5</v>
      </c>
      <c r="AC28" s="151" t="s">
        <v>549</v>
      </c>
      <c r="AE28" s="551" t="s">
        <v>2037</v>
      </c>
      <c r="AF28">
        <v>25</v>
      </c>
      <c r="AG28">
        <v>-20</v>
      </c>
      <c r="AH28">
        <v>12</v>
      </c>
      <c r="AI28">
        <v>213.1</v>
      </c>
      <c r="AJ28">
        <v>71.900000000000006</v>
      </c>
      <c r="AK28" s="551" t="s">
        <v>2001</v>
      </c>
      <c r="AL28">
        <v>66</v>
      </c>
      <c r="AM28">
        <v>65</v>
      </c>
      <c r="AN28">
        <v>52</v>
      </c>
      <c r="AP28" s="521" t="s">
        <v>167</v>
      </c>
      <c r="AQ28" s="151" t="s">
        <v>168</v>
      </c>
      <c r="AR28" s="59"/>
      <c r="AS28" s="69"/>
      <c r="AT28">
        <v>74.7</v>
      </c>
      <c r="AV28">
        <v>192</v>
      </c>
      <c r="AW28">
        <v>15.3</v>
      </c>
      <c r="BK28" s="151"/>
      <c r="BP28" s="647"/>
    </row>
    <row r="29" spans="1:68">
      <c r="A29" s="658">
        <v>14</v>
      </c>
      <c r="B29" s="625">
        <v>5.8</v>
      </c>
      <c r="C29" s="626" t="s">
        <v>137</v>
      </c>
      <c r="D29" s="626">
        <v>22</v>
      </c>
      <c r="E29">
        <f t="shared" si="3"/>
        <v>292</v>
      </c>
      <c r="F29" s="626">
        <v>140</v>
      </c>
      <c r="G29" s="626">
        <v>51</v>
      </c>
      <c r="H29" s="626" t="s">
        <v>1968</v>
      </c>
      <c r="I29" t="str">
        <f t="shared" si="1"/>
        <v>14x</v>
      </c>
      <c r="J29" s="362">
        <f t="shared" si="2"/>
        <v>5.1000000000000004E-2</v>
      </c>
      <c r="K29" s="151" t="s">
        <v>2038</v>
      </c>
      <c r="O29" s="7"/>
      <c r="P29" s="7"/>
      <c r="R29" s="521" t="s">
        <v>2029</v>
      </c>
      <c r="S29">
        <v>216</v>
      </c>
      <c r="T29">
        <v>-20</v>
      </c>
      <c r="U29" s="7">
        <v>8.1</v>
      </c>
      <c r="V29" s="7">
        <v>-18.899999999999999</v>
      </c>
      <c r="W29" s="7"/>
      <c r="X29" s="521" t="s">
        <v>2027</v>
      </c>
      <c r="Y29">
        <v>308</v>
      </c>
      <c r="Z29">
        <v>-3</v>
      </c>
      <c r="AA29" s="7">
        <v>281.5</v>
      </c>
      <c r="AB29" s="7">
        <v>12.5</v>
      </c>
      <c r="AC29" s="151" t="s">
        <v>549</v>
      </c>
      <c r="AK29" s="551" t="s">
        <v>2016</v>
      </c>
      <c r="AL29">
        <v>220</v>
      </c>
      <c r="AM29">
        <v>30</v>
      </c>
      <c r="AN29">
        <v>8</v>
      </c>
      <c r="AP29" s="521" t="s">
        <v>39</v>
      </c>
      <c r="AQ29" s="151" t="s">
        <v>181</v>
      </c>
      <c r="AR29" s="59"/>
      <c r="AS29" s="60"/>
      <c r="AV29">
        <v>134.1</v>
      </c>
      <c r="AW29">
        <v>-7</v>
      </c>
      <c r="BD29" s="151"/>
      <c r="BP29" s="647"/>
    </row>
    <row r="30" spans="1:68">
      <c r="A30" s="661">
        <v>14</v>
      </c>
      <c r="B30" s="625">
        <v>5.8</v>
      </c>
      <c r="C30" s="630" t="s">
        <v>1549</v>
      </c>
      <c r="D30" s="630">
        <v>22</v>
      </c>
      <c r="E30">
        <f t="shared" si="3"/>
        <v>292</v>
      </c>
      <c r="F30" s="630">
        <v>140</v>
      </c>
      <c r="G30" s="630">
        <v>104</v>
      </c>
      <c r="H30" s="630" t="s">
        <v>1992</v>
      </c>
      <c r="I30" t="str">
        <f t="shared" si="1"/>
        <v>14y</v>
      </c>
      <c r="J30" s="362">
        <f t="shared" si="2"/>
        <v>0.10400000000000001</v>
      </c>
      <c r="K30">
        <v>3</v>
      </c>
      <c r="O30" s="7"/>
      <c r="P30" s="7"/>
      <c r="U30" s="7"/>
      <c r="V30" s="7"/>
      <c r="W30" s="7"/>
      <c r="X30" s="521" t="s">
        <v>2039</v>
      </c>
      <c r="Y30">
        <v>200</v>
      </c>
      <c r="Z30">
        <v>-54</v>
      </c>
      <c r="AA30" s="7">
        <v>23.2</v>
      </c>
      <c r="AB30" s="7">
        <v>14</v>
      </c>
      <c r="AC30" s="151" t="s">
        <v>2003</v>
      </c>
      <c r="AK30" s="551" t="s">
        <v>341</v>
      </c>
      <c r="AL30">
        <v>294</v>
      </c>
      <c r="AM30">
        <v>-12</v>
      </c>
      <c r="AN30">
        <v>26</v>
      </c>
      <c r="AO30" s="151" t="s">
        <v>66</v>
      </c>
      <c r="AP30" s="521" t="s">
        <v>159</v>
      </c>
      <c r="AQ30" s="151" t="s">
        <v>67</v>
      </c>
      <c r="AR30" s="59"/>
      <c r="AS30" s="60"/>
      <c r="AU30">
        <v>71.5</v>
      </c>
      <c r="AV30">
        <v>208.3</v>
      </c>
      <c r="AW30">
        <v>19.5</v>
      </c>
      <c r="BD30" s="648"/>
      <c r="BP30" s="647"/>
    </row>
    <row r="31" spans="1:68">
      <c r="A31" s="659">
        <v>14</v>
      </c>
      <c r="B31" s="625">
        <v>5.8</v>
      </c>
      <c r="C31" s="624" t="s">
        <v>1979</v>
      </c>
      <c r="D31" s="630">
        <v>22</v>
      </c>
      <c r="E31">
        <f t="shared" si="3"/>
        <v>292</v>
      </c>
      <c r="F31" s="630">
        <v>140</v>
      </c>
      <c r="G31" s="155">
        <v>181</v>
      </c>
      <c r="H31" s="155"/>
      <c r="I31" t="str">
        <f t="shared" si="1"/>
        <v>14z</v>
      </c>
      <c r="J31" s="362">
        <f t="shared" si="2"/>
        <v>0.18099999999999999</v>
      </c>
      <c r="K31" s="7">
        <v>1</v>
      </c>
      <c r="O31" s="7"/>
      <c r="P31" s="7"/>
      <c r="R31" s="521" t="s">
        <v>119</v>
      </c>
      <c r="S31">
        <v>218</v>
      </c>
      <c r="T31">
        <v>-5</v>
      </c>
      <c r="U31" s="7">
        <v>2.8</v>
      </c>
      <c r="V31" s="7">
        <v>-33.299999999999997</v>
      </c>
      <c r="W31" s="7"/>
      <c r="X31" s="521"/>
      <c r="AA31" s="7"/>
      <c r="AB31" s="7"/>
      <c r="AC31" s="151"/>
      <c r="AK31" s="551"/>
      <c r="AP31" s="521" t="s">
        <v>39</v>
      </c>
      <c r="AQ31" s="151" t="s">
        <v>181</v>
      </c>
      <c r="AR31" s="59"/>
      <c r="AS31" s="60"/>
      <c r="BD31" s="648"/>
      <c r="BP31" s="647"/>
    </row>
    <row r="32" spans="1:68">
      <c r="A32" s="664" t="s">
        <v>2040</v>
      </c>
      <c r="B32" s="638">
        <v>5.9</v>
      </c>
      <c r="C32" s="513" t="s">
        <v>137</v>
      </c>
      <c r="D32" s="513">
        <v>25</v>
      </c>
      <c r="E32">
        <f t="shared" si="3"/>
        <v>295</v>
      </c>
      <c r="F32" s="513">
        <v>130</v>
      </c>
      <c r="G32" s="513">
        <v>57</v>
      </c>
      <c r="H32" s="513" t="s">
        <v>1968</v>
      </c>
      <c r="I32" t="str">
        <f t="shared" si="1"/>
        <v>14Ax</v>
      </c>
      <c r="J32" s="362">
        <f t="shared" si="2"/>
        <v>5.7000000000000002E-2</v>
      </c>
      <c r="K32">
        <v>1.5</v>
      </c>
      <c r="O32" s="7"/>
      <c r="P32" s="7"/>
      <c r="U32" s="7"/>
      <c r="V32" s="7"/>
      <c r="W32" s="7"/>
      <c r="X32" s="551" t="s">
        <v>2041</v>
      </c>
      <c r="Y32">
        <v>44</v>
      </c>
      <c r="Z32">
        <v>-65</v>
      </c>
      <c r="AA32" s="7">
        <v>42.5</v>
      </c>
      <c r="AB32" s="7">
        <v>62.7</v>
      </c>
      <c r="AC32" s="151" t="s">
        <v>2003</v>
      </c>
      <c r="AE32" s="521" t="s">
        <v>2042</v>
      </c>
      <c r="AF32">
        <v>33</v>
      </c>
      <c r="AG32">
        <v>-19</v>
      </c>
      <c r="AH32">
        <v>9</v>
      </c>
      <c r="AI32">
        <v>184.5</v>
      </c>
      <c r="AJ32">
        <v>67.900000000000006</v>
      </c>
      <c r="AK32" s="551" t="s">
        <v>1972</v>
      </c>
      <c r="AL32">
        <v>303</v>
      </c>
      <c r="AM32">
        <v>1</v>
      </c>
      <c r="AN32">
        <v>10</v>
      </c>
      <c r="AP32" s="521" t="s">
        <v>113</v>
      </c>
      <c r="AQ32" s="151" t="s">
        <v>67</v>
      </c>
      <c r="AR32" s="59"/>
      <c r="AS32" s="69"/>
      <c r="AT32">
        <v>66.900000000000006</v>
      </c>
      <c r="AV32">
        <v>212.5</v>
      </c>
      <c r="AW32">
        <v>24.6</v>
      </c>
      <c r="BD32" s="648"/>
      <c r="BP32" s="647"/>
    </row>
    <row r="33" spans="1:68">
      <c r="A33" s="659" t="s">
        <v>2040</v>
      </c>
      <c r="B33" s="638">
        <v>5.9</v>
      </c>
      <c r="C33" s="513" t="s">
        <v>1549</v>
      </c>
      <c r="D33" s="513">
        <v>25</v>
      </c>
      <c r="E33">
        <f t="shared" si="3"/>
        <v>295</v>
      </c>
      <c r="F33" s="513">
        <v>130</v>
      </c>
      <c r="G33" s="513">
        <v>50</v>
      </c>
      <c r="H33" s="513" t="s">
        <v>1992</v>
      </c>
      <c r="I33" t="str">
        <f t="shared" si="1"/>
        <v>14Ay</v>
      </c>
      <c r="J33" s="362">
        <f t="shared" si="2"/>
        <v>0.05</v>
      </c>
      <c r="K33" s="151" t="s">
        <v>2043</v>
      </c>
      <c r="O33" s="7"/>
      <c r="P33" s="7"/>
      <c r="U33" s="7"/>
      <c r="V33" s="7"/>
      <c r="W33" s="7"/>
      <c r="X33" s="521" t="s">
        <v>119</v>
      </c>
      <c r="Y33">
        <v>88</v>
      </c>
      <c r="Z33">
        <v>-12</v>
      </c>
      <c r="AA33" s="7">
        <v>123.2</v>
      </c>
      <c r="AB33" s="7">
        <v>28.3</v>
      </c>
      <c r="AC33" s="151" t="s">
        <v>549</v>
      </c>
      <c r="AE33" s="551" t="s">
        <v>104</v>
      </c>
      <c r="AF33">
        <v>354</v>
      </c>
      <c r="AG33">
        <v>-30</v>
      </c>
      <c r="AH33">
        <v>27</v>
      </c>
      <c r="AI33">
        <v>283.10000000000002</v>
      </c>
      <c r="AJ33">
        <v>62.9</v>
      </c>
      <c r="AK33" s="551" t="s">
        <v>2001</v>
      </c>
      <c r="AL33">
        <v>205</v>
      </c>
      <c r="AM33">
        <v>-55</v>
      </c>
      <c r="AN33">
        <v>41</v>
      </c>
      <c r="AP33" s="521" t="s">
        <v>113</v>
      </c>
      <c r="AQ33" s="151" t="s">
        <v>168</v>
      </c>
      <c r="AR33" s="59"/>
      <c r="AS33" s="69"/>
      <c r="AT33">
        <v>74.3</v>
      </c>
      <c r="AV33">
        <v>187</v>
      </c>
      <c r="AW33">
        <v>33.700000000000003</v>
      </c>
      <c r="BD33" s="648"/>
      <c r="BP33" s="647"/>
    </row>
    <row r="34" spans="1:68">
      <c r="A34" s="664" t="s">
        <v>2040</v>
      </c>
      <c r="B34" s="638">
        <v>5.9</v>
      </c>
      <c r="C34" s="513" t="s">
        <v>1979</v>
      </c>
      <c r="D34" s="513">
        <v>25</v>
      </c>
      <c r="E34">
        <f t="shared" si="3"/>
        <v>295</v>
      </c>
      <c r="F34" s="513">
        <v>130</v>
      </c>
      <c r="G34" s="513">
        <v>313</v>
      </c>
      <c r="H34" s="513" t="s">
        <v>1973</v>
      </c>
      <c r="I34" t="str">
        <f t="shared" si="1"/>
        <v>14Az</v>
      </c>
      <c r="J34" s="362">
        <f t="shared" si="2"/>
        <v>0.313</v>
      </c>
      <c r="K34" s="516">
        <v>2.5</v>
      </c>
      <c r="L34" s="2">
        <v>10125</v>
      </c>
      <c r="M34">
        <v>20</v>
      </c>
      <c r="N34">
        <v>4</v>
      </c>
      <c r="O34" s="7">
        <v>212.2</v>
      </c>
      <c r="P34" s="7">
        <v>45.8</v>
      </c>
      <c r="R34" s="521" t="s">
        <v>2044</v>
      </c>
      <c r="S34">
        <v>348</v>
      </c>
      <c r="T34">
        <v>-6</v>
      </c>
      <c r="U34" s="7">
        <v>259.3</v>
      </c>
      <c r="V34" s="7">
        <v>42.5</v>
      </c>
      <c r="W34" s="7"/>
      <c r="X34" s="551" t="s">
        <v>1580</v>
      </c>
      <c r="Y34">
        <v>56</v>
      </c>
      <c r="Z34">
        <v>-11</v>
      </c>
      <c r="AA34" s="7">
        <v>153</v>
      </c>
      <c r="AB34" s="7">
        <v>50.1</v>
      </c>
      <c r="AC34" s="151" t="s">
        <v>549</v>
      </c>
      <c r="AD34" s="151" t="s">
        <v>2045</v>
      </c>
      <c r="AE34" s="521" t="s">
        <v>2046</v>
      </c>
      <c r="AF34">
        <v>9</v>
      </c>
      <c r="AG34">
        <v>-24</v>
      </c>
      <c r="AH34">
        <v>15</v>
      </c>
      <c r="AI34">
        <v>249.9</v>
      </c>
      <c r="AJ34">
        <v>69.099999999999994</v>
      </c>
      <c r="AK34" s="551" t="s">
        <v>64</v>
      </c>
      <c r="AL34">
        <v>239</v>
      </c>
      <c r="AM34">
        <v>-69</v>
      </c>
      <c r="AN34">
        <v>8</v>
      </c>
      <c r="AP34" s="521" t="s">
        <v>113</v>
      </c>
      <c r="AQ34" s="151" t="s">
        <v>168</v>
      </c>
      <c r="AR34" s="59"/>
      <c r="AS34" s="69"/>
      <c r="AT34">
        <v>88.9</v>
      </c>
      <c r="AV34">
        <v>191.5</v>
      </c>
      <c r="AW34">
        <v>14.5</v>
      </c>
      <c r="BD34" s="648"/>
      <c r="BP34" s="647"/>
    </row>
    <row r="35" spans="1:68">
      <c r="A35" s="667">
        <v>17</v>
      </c>
      <c r="B35" s="649">
        <v>9.4</v>
      </c>
      <c r="C35" s="645"/>
      <c r="D35" s="645">
        <v>5</v>
      </c>
      <c r="E35">
        <f t="shared" si="3"/>
        <v>275</v>
      </c>
      <c r="F35" s="645">
        <v>70</v>
      </c>
      <c r="G35" s="645">
        <v>496</v>
      </c>
      <c r="H35" s="645" t="s">
        <v>1973</v>
      </c>
      <c r="I35" t="str">
        <f t="shared" si="1"/>
        <v>17</v>
      </c>
      <c r="J35" s="362">
        <f t="shared" si="2"/>
        <v>0.496</v>
      </c>
      <c r="K35" s="7">
        <v>4</v>
      </c>
      <c r="L35" s="521" t="s">
        <v>2047</v>
      </c>
      <c r="M35">
        <v>38</v>
      </c>
      <c r="N35">
        <v>7</v>
      </c>
      <c r="O35">
        <v>77.5</v>
      </c>
      <c r="P35">
        <v>55.5</v>
      </c>
      <c r="U35" s="7"/>
      <c r="V35" s="7"/>
      <c r="W35" s="7"/>
      <c r="AE35" s="551" t="s">
        <v>1728</v>
      </c>
      <c r="AF35">
        <v>348</v>
      </c>
      <c r="AG35">
        <v>-3</v>
      </c>
      <c r="AH35">
        <v>13</v>
      </c>
      <c r="AI35">
        <v>327.2</v>
      </c>
      <c r="AJ35">
        <v>61.6</v>
      </c>
      <c r="AK35" s="551" t="s">
        <v>64</v>
      </c>
      <c r="AL35">
        <v>264</v>
      </c>
      <c r="AM35">
        <v>-19</v>
      </c>
      <c r="AN35">
        <v>40</v>
      </c>
      <c r="AO35" s="151" t="s">
        <v>66</v>
      </c>
      <c r="AP35" s="521" t="s">
        <v>105</v>
      </c>
      <c r="AQ35" s="151" t="s">
        <v>88</v>
      </c>
      <c r="AR35" s="59"/>
      <c r="AS35" s="60"/>
      <c r="AU35">
        <v>83.6</v>
      </c>
      <c r="AV35">
        <v>183.1</v>
      </c>
      <c r="AW35">
        <v>24.7</v>
      </c>
      <c r="BD35" s="648"/>
      <c r="BP35" s="647"/>
    </row>
    <row r="36" spans="1:68">
      <c r="A36" s="659">
        <v>18</v>
      </c>
      <c r="B36" s="638">
        <v>9.85</v>
      </c>
      <c r="C36" s="513"/>
      <c r="D36" s="513">
        <v>11</v>
      </c>
      <c r="E36">
        <f t="shared" si="3"/>
        <v>281</v>
      </c>
      <c r="F36" s="513">
        <v>60</v>
      </c>
      <c r="G36" s="513">
        <v>910</v>
      </c>
      <c r="H36" s="513" t="s">
        <v>1973</v>
      </c>
      <c r="I36" t="str">
        <f t="shared" si="1"/>
        <v>18</v>
      </c>
      <c r="J36" s="362">
        <f t="shared" si="2"/>
        <v>0.91</v>
      </c>
      <c r="K36" s="7">
        <v>2</v>
      </c>
      <c r="L36" s="521" t="s">
        <v>2048</v>
      </c>
      <c r="M36">
        <v>7</v>
      </c>
      <c r="N36">
        <v>18</v>
      </c>
      <c r="O36">
        <v>353.2</v>
      </c>
      <c r="P36">
        <v>77.5</v>
      </c>
      <c r="U36" s="7"/>
      <c r="V36" s="7"/>
      <c r="W36" s="7"/>
      <c r="AP36" s="521" t="s">
        <v>1101</v>
      </c>
      <c r="AQ36" s="151" t="s">
        <v>181</v>
      </c>
      <c r="AR36" s="70"/>
      <c r="AS36" s="60"/>
      <c r="BD36" s="648"/>
      <c r="BP36" s="647"/>
    </row>
    <row r="37" spans="1:68">
      <c r="A37" s="667">
        <v>19</v>
      </c>
      <c r="B37" s="649">
        <v>10.199999999999999</v>
      </c>
      <c r="C37" s="645"/>
      <c r="D37" s="645">
        <v>16</v>
      </c>
      <c r="E37">
        <f t="shared" si="3"/>
        <v>286</v>
      </c>
      <c r="F37" s="645">
        <v>59</v>
      </c>
      <c r="G37" s="645">
        <v>687</v>
      </c>
      <c r="H37" s="645" t="s">
        <v>1973</v>
      </c>
      <c r="I37" t="str">
        <f t="shared" si="1"/>
        <v>19</v>
      </c>
      <c r="J37" s="362">
        <f t="shared" si="2"/>
        <v>0.68700000000000006</v>
      </c>
      <c r="K37" s="516" t="s">
        <v>2049</v>
      </c>
      <c r="L37" s="521" t="s">
        <v>2050</v>
      </c>
      <c r="M37">
        <v>19</v>
      </c>
      <c r="N37">
        <v>16</v>
      </c>
      <c r="O37">
        <v>27</v>
      </c>
      <c r="P37">
        <v>74.8</v>
      </c>
      <c r="X37" s="521" t="s">
        <v>2051</v>
      </c>
      <c r="Y37">
        <v>41</v>
      </c>
      <c r="Z37">
        <v>35</v>
      </c>
      <c r="AA37">
        <v>123.5</v>
      </c>
      <c r="AB37">
        <v>68.7</v>
      </c>
      <c r="AC37" s="151" t="s">
        <v>549</v>
      </c>
      <c r="AD37" s="151" t="s">
        <v>2052</v>
      </c>
      <c r="AK37" s="551" t="s">
        <v>341</v>
      </c>
      <c r="AL37">
        <v>275</v>
      </c>
      <c r="AM37">
        <v>40</v>
      </c>
      <c r="AN37">
        <v>27</v>
      </c>
      <c r="AO37" s="151" t="s">
        <v>66</v>
      </c>
      <c r="AP37" s="521" t="s">
        <v>105</v>
      </c>
      <c r="AQ37" s="151" t="s">
        <v>88</v>
      </c>
      <c r="AR37" s="59"/>
      <c r="AS37" s="60"/>
      <c r="AU37">
        <v>74.7</v>
      </c>
      <c r="AV37">
        <v>175.2</v>
      </c>
      <c r="AW37">
        <v>11.5</v>
      </c>
      <c r="BD37" s="151"/>
    </row>
    <row r="38" spans="1:68">
      <c r="A38" s="659">
        <v>20</v>
      </c>
      <c r="B38" s="638">
        <v>10.6</v>
      </c>
      <c r="D38" s="513">
        <v>23</v>
      </c>
      <c r="E38">
        <f t="shared" si="3"/>
        <v>293</v>
      </c>
      <c r="F38" s="513">
        <v>55</v>
      </c>
      <c r="G38" s="513">
        <v>785</v>
      </c>
      <c r="H38" s="513" t="s">
        <v>1973</v>
      </c>
      <c r="I38" t="str">
        <f t="shared" si="1"/>
        <v>20</v>
      </c>
      <c r="J38" s="362">
        <f t="shared" si="2"/>
        <v>0.78500000000000003</v>
      </c>
      <c r="K38" s="516" t="s">
        <v>2053</v>
      </c>
      <c r="L38" s="521" t="s">
        <v>2054</v>
      </c>
      <c r="M38">
        <v>348</v>
      </c>
      <c r="N38">
        <v>23</v>
      </c>
      <c r="O38">
        <v>305</v>
      </c>
      <c r="P38">
        <v>57.3</v>
      </c>
      <c r="R38" s="627" t="s">
        <v>2055</v>
      </c>
      <c r="S38">
        <v>324</v>
      </c>
      <c r="T38">
        <v>35</v>
      </c>
      <c r="U38">
        <v>275</v>
      </c>
      <c r="V38">
        <v>42.4</v>
      </c>
      <c r="X38" s="521" t="s">
        <v>2056</v>
      </c>
      <c r="Y38">
        <v>276</v>
      </c>
      <c r="Z38">
        <v>1</v>
      </c>
      <c r="AA38">
        <v>282.2</v>
      </c>
      <c r="AB38">
        <v>-13.3</v>
      </c>
      <c r="AC38" s="151" t="s">
        <v>549</v>
      </c>
      <c r="AD38" s="151" t="s">
        <v>2057</v>
      </c>
      <c r="AP38" s="521" t="s">
        <v>39</v>
      </c>
      <c r="AQ38" s="151" t="s">
        <v>181</v>
      </c>
      <c r="AR38" s="70"/>
      <c r="AS38" s="60"/>
      <c r="BD38" s="647"/>
      <c r="BP38" s="151"/>
    </row>
    <row r="39" spans="1:68">
      <c r="A39" s="667">
        <v>21</v>
      </c>
      <c r="B39" s="649">
        <v>10.9</v>
      </c>
      <c r="C39" s="115"/>
      <c r="D39" s="645">
        <v>11</v>
      </c>
      <c r="E39">
        <f t="shared" si="3"/>
        <v>281</v>
      </c>
      <c r="F39" s="645">
        <v>54</v>
      </c>
      <c r="G39" s="645">
        <v>428</v>
      </c>
      <c r="H39" s="645" t="s">
        <v>1973</v>
      </c>
      <c r="I39" t="str">
        <f t="shared" si="1"/>
        <v>21</v>
      </c>
      <c r="J39" s="362">
        <f t="shared" si="2"/>
        <v>0.42799999999999999</v>
      </c>
      <c r="K39" s="7">
        <v>4</v>
      </c>
      <c r="L39" s="521" t="s">
        <v>2058</v>
      </c>
      <c r="M39">
        <v>15</v>
      </c>
      <c r="N39">
        <v>31</v>
      </c>
      <c r="O39">
        <v>45.8</v>
      </c>
      <c r="P39">
        <v>84</v>
      </c>
      <c r="X39" s="551" t="s">
        <v>1728</v>
      </c>
      <c r="Y39">
        <v>41</v>
      </c>
      <c r="Z39">
        <v>31</v>
      </c>
      <c r="AA39">
        <v>98.4</v>
      </c>
      <c r="AB39">
        <v>64.599999999999994</v>
      </c>
      <c r="AC39" s="151" t="s">
        <v>549</v>
      </c>
      <c r="AE39" s="521" t="s">
        <v>2059</v>
      </c>
      <c r="AF39">
        <v>356</v>
      </c>
      <c r="AG39">
        <v>-27</v>
      </c>
      <c r="AH39">
        <v>36</v>
      </c>
      <c r="AI39">
        <v>356.2</v>
      </c>
      <c r="AJ39">
        <v>25.4</v>
      </c>
      <c r="AK39" s="551" t="s">
        <v>1728</v>
      </c>
      <c r="AL39">
        <v>305</v>
      </c>
      <c r="AM39">
        <v>9</v>
      </c>
      <c r="AN39">
        <v>10</v>
      </c>
      <c r="AP39" s="521" t="s">
        <v>113</v>
      </c>
      <c r="AQ39" s="151" t="s">
        <v>328</v>
      </c>
      <c r="AR39" s="59"/>
      <c r="AS39" s="60"/>
      <c r="AT39">
        <v>76.599999999999994</v>
      </c>
      <c r="AV39">
        <v>210.3</v>
      </c>
      <c r="AW39">
        <v>27.5</v>
      </c>
      <c r="BD39" s="648"/>
    </row>
    <row r="40" spans="1:68">
      <c r="A40" s="659">
        <v>22</v>
      </c>
      <c r="B40" s="638">
        <v>11.45</v>
      </c>
      <c r="C40" s="513" t="s">
        <v>137</v>
      </c>
      <c r="D40" s="513">
        <v>19</v>
      </c>
      <c r="E40">
        <f t="shared" si="3"/>
        <v>289</v>
      </c>
      <c r="F40" s="513">
        <v>53</v>
      </c>
      <c r="G40" s="513">
        <v>340</v>
      </c>
      <c r="H40" s="513" t="s">
        <v>1968</v>
      </c>
      <c r="I40" t="str">
        <f t="shared" si="1"/>
        <v>22x</v>
      </c>
      <c r="J40" s="362">
        <f t="shared" si="2"/>
        <v>0.34</v>
      </c>
      <c r="K40">
        <v>2.5</v>
      </c>
      <c r="AE40" s="521" t="s">
        <v>2018</v>
      </c>
      <c r="AF40">
        <v>21</v>
      </c>
      <c r="AG40">
        <v>-10</v>
      </c>
      <c r="AH40">
        <v>2</v>
      </c>
      <c r="AI40">
        <v>21.7</v>
      </c>
      <c r="AJ40">
        <v>43</v>
      </c>
      <c r="AK40" s="551" t="s">
        <v>1972</v>
      </c>
      <c r="AL40">
        <v>128</v>
      </c>
      <c r="AM40">
        <v>-61</v>
      </c>
      <c r="AN40">
        <v>17</v>
      </c>
      <c r="AP40" s="521" t="s">
        <v>469</v>
      </c>
      <c r="AQ40" s="151" t="s">
        <v>168</v>
      </c>
      <c r="AR40" s="59"/>
      <c r="AS40" s="69"/>
      <c r="AT40">
        <v>76.900000000000006</v>
      </c>
      <c r="AV40">
        <v>186.2</v>
      </c>
      <c r="AW40">
        <v>16.3</v>
      </c>
      <c r="BD40" s="151"/>
    </row>
    <row r="41" spans="1:68">
      <c r="A41" s="661">
        <v>22</v>
      </c>
      <c r="B41" s="638">
        <v>11.45</v>
      </c>
      <c r="C41" s="630" t="s">
        <v>1549</v>
      </c>
      <c r="D41" s="630">
        <v>19</v>
      </c>
      <c r="E41">
        <f t="shared" si="3"/>
        <v>289</v>
      </c>
      <c r="F41" s="630">
        <v>53</v>
      </c>
      <c r="G41" s="630">
        <v>1010</v>
      </c>
      <c r="H41" s="630" t="s">
        <v>2060</v>
      </c>
      <c r="I41" t="str">
        <f t="shared" si="1"/>
        <v>22y</v>
      </c>
      <c r="J41" s="362">
        <f t="shared" si="2"/>
        <v>1.01</v>
      </c>
      <c r="K41">
        <v>1.2</v>
      </c>
      <c r="L41" s="521" t="s">
        <v>2020</v>
      </c>
      <c r="M41">
        <v>8</v>
      </c>
      <c r="N41">
        <v>1</v>
      </c>
      <c r="O41">
        <v>0.7</v>
      </c>
      <c r="P41">
        <v>52.6</v>
      </c>
      <c r="AE41" s="521" t="s">
        <v>2061</v>
      </c>
      <c r="AF41">
        <v>332</v>
      </c>
      <c r="AG41">
        <v>-18</v>
      </c>
      <c r="AH41">
        <v>4</v>
      </c>
      <c r="AI41">
        <v>331.5</v>
      </c>
      <c r="AJ41">
        <v>19.399999999999999</v>
      </c>
      <c r="AK41" s="551" t="s">
        <v>341</v>
      </c>
      <c r="AL41">
        <v>281</v>
      </c>
      <c r="AM41">
        <v>67</v>
      </c>
      <c r="AN41">
        <v>13</v>
      </c>
      <c r="AP41" s="521" t="s">
        <v>469</v>
      </c>
      <c r="AQ41" s="151" t="s">
        <v>168</v>
      </c>
      <c r="AR41" s="59"/>
      <c r="AS41" s="69"/>
      <c r="AT41">
        <v>53.1</v>
      </c>
      <c r="AV41">
        <v>181.1</v>
      </c>
      <c r="AW41">
        <v>4.2</v>
      </c>
      <c r="BD41" s="151"/>
    </row>
    <row r="42" spans="1:68">
      <c r="A42" s="659">
        <v>23</v>
      </c>
      <c r="B42" s="638">
        <v>11.8</v>
      </c>
      <c r="C42" s="513" t="s">
        <v>137</v>
      </c>
      <c r="D42" s="626">
        <v>9</v>
      </c>
      <c r="E42">
        <f t="shared" si="3"/>
        <v>279</v>
      </c>
      <c r="F42" s="626">
        <v>63</v>
      </c>
      <c r="G42" s="626">
        <v>423</v>
      </c>
      <c r="H42" s="513" t="s">
        <v>2062</v>
      </c>
      <c r="I42" t="str">
        <f t="shared" si="1"/>
        <v>23x</v>
      </c>
      <c r="J42" s="362">
        <f t="shared" si="2"/>
        <v>0.42299999999999999</v>
      </c>
      <c r="K42">
        <v>1.7</v>
      </c>
      <c r="L42" s="521" t="s">
        <v>2020</v>
      </c>
      <c r="M42">
        <v>17</v>
      </c>
      <c r="N42">
        <v>5</v>
      </c>
      <c r="O42">
        <v>29.5</v>
      </c>
      <c r="P42">
        <v>66.7</v>
      </c>
      <c r="X42" s="521" t="s">
        <v>2063</v>
      </c>
      <c r="Y42">
        <v>92</v>
      </c>
      <c r="Z42">
        <v>28</v>
      </c>
      <c r="AA42">
        <v>121.9</v>
      </c>
      <c r="AB42">
        <v>18</v>
      </c>
      <c r="AC42" s="151" t="s">
        <v>549</v>
      </c>
      <c r="AE42" s="551" t="s">
        <v>2064</v>
      </c>
      <c r="AF42">
        <v>38</v>
      </c>
      <c r="AG42">
        <v>-24</v>
      </c>
      <c r="AH42">
        <v>21</v>
      </c>
      <c r="AI42">
        <v>40.4</v>
      </c>
      <c r="AJ42">
        <v>31.8</v>
      </c>
      <c r="AK42" s="551" t="s">
        <v>1728</v>
      </c>
      <c r="AL42">
        <v>289</v>
      </c>
      <c r="AM42">
        <v>-12</v>
      </c>
      <c r="AN42">
        <v>28</v>
      </c>
      <c r="AP42" s="521" t="s">
        <v>113</v>
      </c>
      <c r="AQ42" s="151" t="s">
        <v>67</v>
      </c>
      <c r="AR42" s="59"/>
      <c r="AS42" s="69"/>
      <c r="AT42">
        <v>62.1</v>
      </c>
      <c r="AV42">
        <v>203.4</v>
      </c>
      <c r="AW42">
        <v>20</v>
      </c>
      <c r="BD42" s="151"/>
      <c r="BP42" s="151"/>
    </row>
    <row r="43" spans="1:68">
      <c r="A43" s="661">
        <v>23</v>
      </c>
      <c r="B43" s="638">
        <v>11.8</v>
      </c>
      <c r="C43" s="630" t="s">
        <v>1549</v>
      </c>
      <c r="D43" s="630">
        <v>9</v>
      </c>
      <c r="E43">
        <f t="shared" si="3"/>
        <v>279</v>
      </c>
      <c r="F43" s="630">
        <v>63</v>
      </c>
      <c r="G43" s="630">
        <v>615</v>
      </c>
      <c r="H43" s="630" t="s">
        <v>1968</v>
      </c>
      <c r="I43" t="str">
        <f t="shared" si="1"/>
        <v>23y</v>
      </c>
      <c r="J43" s="362">
        <f t="shared" si="2"/>
        <v>0.61499999999999999</v>
      </c>
      <c r="K43">
        <v>2</v>
      </c>
      <c r="L43" s="551" t="s">
        <v>2030</v>
      </c>
      <c r="M43">
        <v>10</v>
      </c>
      <c r="N43">
        <v>9</v>
      </c>
      <c r="O43">
        <v>12.2</v>
      </c>
      <c r="P43">
        <v>72</v>
      </c>
      <c r="Q43" s="639" t="s">
        <v>137</v>
      </c>
      <c r="AD43" s="151" t="s">
        <v>2065</v>
      </c>
      <c r="AE43" s="521" t="s">
        <v>2066</v>
      </c>
      <c r="AF43">
        <v>7</v>
      </c>
      <c r="AG43">
        <v>-19</v>
      </c>
      <c r="AH43">
        <v>5</v>
      </c>
      <c r="AI43">
        <v>6.4</v>
      </c>
      <c r="AJ43">
        <v>44</v>
      </c>
      <c r="AK43" s="521" t="s">
        <v>2067</v>
      </c>
      <c r="AL43">
        <v>86</v>
      </c>
      <c r="AM43">
        <v>27</v>
      </c>
      <c r="AN43">
        <v>10</v>
      </c>
      <c r="AP43" s="521" t="s">
        <v>113</v>
      </c>
      <c r="AQ43" s="151" t="s">
        <v>67</v>
      </c>
      <c r="AR43" s="59"/>
      <c r="AS43" s="69"/>
      <c r="AT43">
        <v>86.9</v>
      </c>
      <c r="AV43">
        <v>188.4</v>
      </c>
      <c r="AW43">
        <v>22.8</v>
      </c>
    </row>
    <row r="44" spans="1:68">
      <c r="A44" s="659">
        <v>25</v>
      </c>
      <c r="B44" s="638">
        <v>12.3</v>
      </c>
      <c r="C44" s="513" t="s">
        <v>137</v>
      </c>
      <c r="D44" s="513">
        <v>12</v>
      </c>
      <c r="E44">
        <f t="shared" si="3"/>
        <v>282</v>
      </c>
      <c r="F44" s="513">
        <v>63</v>
      </c>
      <c r="G44" s="513">
        <v>700</v>
      </c>
      <c r="H44" s="513" t="s">
        <v>2062</v>
      </c>
      <c r="I44" t="str">
        <f t="shared" si="1"/>
        <v>25x</v>
      </c>
      <c r="J44" s="362">
        <f t="shared" si="2"/>
        <v>0.70000000000000007</v>
      </c>
      <c r="K44">
        <v>3</v>
      </c>
      <c r="L44" s="551" t="s">
        <v>78</v>
      </c>
      <c r="M44">
        <v>356</v>
      </c>
      <c r="N44">
        <v>12</v>
      </c>
      <c r="O44">
        <v>323.89999999999998</v>
      </c>
      <c r="P44">
        <v>68.8</v>
      </c>
      <c r="Q44" s="639" t="s">
        <v>137</v>
      </c>
      <c r="S44">
        <v>113</v>
      </c>
      <c r="T44">
        <v>57</v>
      </c>
      <c r="U44">
        <v>158.1</v>
      </c>
      <c r="V44">
        <v>16.7</v>
      </c>
      <c r="AP44" s="521" t="s">
        <v>1101</v>
      </c>
      <c r="AQ44" s="151" t="s">
        <v>181</v>
      </c>
      <c r="AR44" s="70"/>
      <c r="AS44" s="60"/>
    </row>
    <row r="45" spans="1:68">
      <c r="A45" s="659">
        <v>25</v>
      </c>
      <c r="B45" s="638">
        <v>12.3</v>
      </c>
      <c r="C45" s="513" t="s">
        <v>1549</v>
      </c>
      <c r="D45" s="513">
        <v>12</v>
      </c>
      <c r="E45">
        <f t="shared" si="3"/>
        <v>282</v>
      </c>
      <c r="F45" s="513">
        <v>63</v>
      </c>
      <c r="G45" s="513">
        <v>202</v>
      </c>
      <c r="H45" s="513" t="s">
        <v>1968</v>
      </c>
      <c r="I45" t="str">
        <f t="shared" si="1"/>
        <v>25y</v>
      </c>
      <c r="J45" s="362">
        <f t="shared" si="2"/>
        <v>0.20200000000000001</v>
      </c>
      <c r="K45">
        <v>2</v>
      </c>
      <c r="L45" s="551" t="s">
        <v>245</v>
      </c>
      <c r="M45">
        <v>11</v>
      </c>
      <c r="N45">
        <v>4</v>
      </c>
      <c r="O45">
        <v>9.4</v>
      </c>
      <c r="P45">
        <v>67</v>
      </c>
      <c r="Q45" s="639" t="s">
        <v>137</v>
      </c>
      <c r="AP45" s="521" t="s">
        <v>1101</v>
      </c>
      <c r="AQ45" s="151" t="s">
        <v>181</v>
      </c>
      <c r="AR45" s="70"/>
      <c r="AS45" s="60"/>
    </row>
    <row r="46" spans="1:68">
      <c r="A46" s="667">
        <v>27</v>
      </c>
      <c r="B46" s="649">
        <v>12.7</v>
      </c>
      <c r="C46" s="115"/>
      <c r="D46" s="645">
        <v>8</v>
      </c>
      <c r="E46">
        <f t="shared" si="3"/>
        <v>278</v>
      </c>
      <c r="F46" s="645">
        <v>64</v>
      </c>
      <c r="G46" s="645">
        <v>464</v>
      </c>
      <c r="H46" s="645" t="s">
        <v>1973</v>
      </c>
      <c r="I46" t="str">
        <f t="shared" si="1"/>
        <v>27</v>
      </c>
      <c r="J46" s="362">
        <f t="shared" si="2"/>
        <v>0.46400000000000002</v>
      </c>
      <c r="K46">
        <v>5</v>
      </c>
      <c r="L46" s="521" t="s">
        <v>2068</v>
      </c>
      <c r="M46">
        <v>21</v>
      </c>
      <c r="N46">
        <v>11</v>
      </c>
      <c r="O46">
        <v>49.7</v>
      </c>
      <c r="P46">
        <v>70.599999999999994</v>
      </c>
      <c r="X46" s="551" t="s">
        <v>2016</v>
      </c>
      <c r="Y46">
        <v>342</v>
      </c>
      <c r="Z46">
        <v>23</v>
      </c>
      <c r="AA46">
        <v>279.60000000000002</v>
      </c>
      <c r="AB46">
        <v>66.2</v>
      </c>
      <c r="AC46" s="151" t="s">
        <v>1975</v>
      </c>
      <c r="AP46" s="521" t="s">
        <v>1101</v>
      </c>
      <c r="AQ46" s="151" t="s">
        <v>181</v>
      </c>
      <c r="AR46" s="70"/>
      <c r="AS46" s="60"/>
    </row>
    <row r="47" spans="1:68">
      <c r="A47" s="659">
        <v>28</v>
      </c>
      <c r="B47" s="638">
        <v>12.75</v>
      </c>
      <c r="C47" s="513" t="s">
        <v>137</v>
      </c>
      <c r="D47" s="513">
        <v>12</v>
      </c>
      <c r="E47">
        <f t="shared" si="3"/>
        <v>282</v>
      </c>
      <c r="F47" s="513">
        <v>53</v>
      </c>
      <c r="G47" s="513">
        <v>250</v>
      </c>
      <c r="H47" s="513" t="s">
        <v>1973</v>
      </c>
      <c r="I47" t="str">
        <f t="shared" si="1"/>
        <v>28x</v>
      </c>
      <c r="J47" s="362">
        <f t="shared" si="2"/>
        <v>0.25</v>
      </c>
      <c r="K47">
        <v>5</v>
      </c>
      <c r="L47" s="521" t="s">
        <v>2020</v>
      </c>
      <c r="M47">
        <v>15</v>
      </c>
      <c r="N47">
        <v>31</v>
      </c>
      <c r="O47">
        <v>35.4</v>
      </c>
      <c r="P47">
        <v>83.5</v>
      </c>
      <c r="R47" s="551" t="s">
        <v>2069</v>
      </c>
      <c r="S47">
        <v>10</v>
      </c>
      <c r="T47">
        <v>28</v>
      </c>
      <c r="U47" s="22">
        <v>0.8</v>
      </c>
      <c r="V47" s="22">
        <v>80.8</v>
      </c>
      <c r="W47" s="22"/>
      <c r="X47" s="521" t="s">
        <v>2070</v>
      </c>
      <c r="Y47">
        <v>252</v>
      </c>
      <c r="Z47">
        <v>-14</v>
      </c>
      <c r="AA47">
        <v>275.3</v>
      </c>
      <c r="AB47">
        <v>-32.200000000000003</v>
      </c>
      <c r="AC47" s="151" t="s">
        <v>549</v>
      </c>
      <c r="AP47" s="521" t="s">
        <v>1101</v>
      </c>
      <c r="AQ47" s="151" t="s">
        <v>181</v>
      </c>
      <c r="AR47" s="70"/>
      <c r="AS47" s="60"/>
    </row>
    <row r="48" spans="1:68">
      <c r="A48" s="659">
        <v>28</v>
      </c>
      <c r="B48" s="638">
        <v>12.75</v>
      </c>
      <c r="C48" s="513" t="s">
        <v>1549</v>
      </c>
      <c r="D48" s="513">
        <v>12</v>
      </c>
      <c r="E48">
        <f t="shared" si="3"/>
        <v>282</v>
      </c>
      <c r="F48" s="513">
        <v>53</v>
      </c>
      <c r="G48" s="513">
        <v>500</v>
      </c>
      <c r="H48" s="513" t="s">
        <v>1968</v>
      </c>
      <c r="I48" t="str">
        <f t="shared" si="1"/>
        <v>28y</v>
      </c>
      <c r="J48" s="362">
        <f t="shared" si="2"/>
        <v>0.5</v>
      </c>
      <c r="K48">
        <v>2.5</v>
      </c>
      <c r="L48" s="627" t="s">
        <v>2071</v>
      </c>
      <c r="M48">
        <v>6</v>
      </c>
      <c r="N48">
        <v>21</v>
      </c>
      <c r="O48">
        <v>352.3</v>
      </c>
      <c r="P48">
        <v>73.2</v>
      </c>
      <c r="AP48" s="521" t="s">
        <v>1101</v>
      </c>
      <c r="AQ48" s="151" t="s">
        <v>181</v>
      </c>
      <c r="AR48" s="70"/>
      <c r="AS48" s="60"/>
    </row>
    <row r="49" spans="1:77">
      <c r="A49" s="658">
        <v>29</v>
      </c>
      <c r="B49" s="625">
        <v>12.95</v>
      </c>
      <c r="C49" s="626" t="s">
        <v>137</v>
      </c>
      <c r="D49" s="626">
        <v>17</v>
      </c>
      <c r="E49">
        <f t="shared" si="3"/>
        <v>287</v>
      </c>
      <c r="F49" s="626">
        <v>57</v>
      </c>
      <c r="G49" s="626">
        <v>526</v>
      </c>
      <c r="H49" s="626" t="s">
        <v>2060</v>
      </c>
      <c r="I49" t="str">
        <f t="shared" si="1"/>
        <v>29x</v>
      </c>
      <c r="J49" s="362">
        <f t="shared" si="2"/>
        <v>0.52600000000000002</v>
      </c>
      <c r="K49" s="151" t="s">
        <v>2072</v>
      </c>
      <c r="L49" s="521" t="s">
        <v>92</v>
      </c>
      <c r="M49">
        <v>355</v>
      </c>
      <c r="N49">
        <v>16</v>
      </c>
      <c r="O49">
        <v>322.2</v>
      </c>
      <c r="P49">
        <v>63.8</v>
      </c>
      <c r="X49" s="521" t="s">
        <v>2073</v>
      </c>
      <c r="Y49">
        <v>295</v>
      </c>
      <c r="Z49">
        <v>9</v>
      </c>
      <c r="AA49">
        <v>283.7</v>
      </c>
      <c r="AB49">
        <v>11.6</v>
      </c>
      <c r="AC49" s="151" t="s">
        <v>549</v>
      </c>
      <c r="AP49" s="521" t="s">
        <v>1101</v>
      </c>
      <c r="AQ49" s="151" t="s">
        <v>181</v>
      </c>
      <c r="AR49" s="70"/>
      <c r="AS49" s="60"/>
      <c r="AZ49" s="151"/>
    </row>
    <row r="50" spans="1:77">
      <c r="A50" s="661">
        <v>29</v>
      </c>
      <c r="B50" s="625">
        <v>12.95</v>
      </c>
      <c r="C50" s="630" t="s">
        <v>1549</v>
      </c>
      <c r="D50" s="630">
        <v>17</v>
      </c>
      <c r="E50">
        <f t="shared" si="3"/>
        <v>287</v>
      </c>
      <c r="F50" s="630">
        <v>57</v>
      </c>
      <c r="G50" s="630">
        <v>617</v>
      </c>
      <c r="H50" s="630" t="s">
        <v>1968</v>
      </c>
      <c r="I50" t="str">
        <f t="shared" si="1"/>
        <v>29y</v>
      </c>
      <c r="J50" s="362">
        <f t="shared" si="2"/>
        <v>0.61699999999999999</v>
      </c>
      <c r="K50">
        <v>3</v>
      </c>
      <c r="L50" s="551" t="s">
        <v>2016</v>
      </c>
      <c r="M50">
        <v>9</v>
      </c>
      <c r="N50">
        <v>20</v>
      </c>
      <c r="O50">
        <v>346.3</v>
      </c>
      <c r="P50">
        <v>75.2</v>
      </c>
      <c r="Q50" s="639" t="s">
        <v>137</v>
      </c>
      <c r="AP50" s="521" t="s">
        <v>1101</v>
      </c>
      <c r="AQ50" s="151" t="s">
        <v>181</v>
      </c>
      <c r="AR50" s="70"/>
      <c r="AS50" s="60"/>
      <c r="BD50" s="151"/>
      <c r="BL50" s="151"/>
      <c r="BY50" s="27"/>
    </row>
    <row r="51" spans="1:77">
      <c r="A51" s="661">
        <v>31</v>
      </c>
      <c r="B51" s="644">
        <v>13.6</v>
      </c>
      <c r="C51" s="115"/>
      <c r="D51" s="645">
        <v>352</v>
      </c>
      <c r="E51">
        <f t="shared" si="3"/>
        <v>262</v>
      </c>
      <c r="F51" s="645">
        <v>54</v>
      </c>
      <c r="G51" s="645">
        <v>746</v>
      </c>
      <c r="H51" s="645" t="s">
        <v>1973</v>
      </c>
      <c r="I51" t="str">
        <f t="shared" si="1"/>
        <v>31</v>
      </c>
      <c r="J51" s="362">
        <f t="shared" si="2"/>
        <v>0.746</v>
      </c>
      <c r="K51">
        <v>3</v>
      </c>
      <c r="L51" s="521" t="s">
        <v>2054</v>
      </c>
      <c r="M51">
        <v>351</v>
      </c>
      <c r="N51">
        <v>20</v>
      </c>
      <c r="O51">
        <v>348.6</v>
      </c>
      <c r="P51">
        <v>74</v>
      </c>
      <c r="R51" s="551" t="s">
        <v>2074</v>
      </c>
      <c r="S51">
        <v>351</v>
      </c>
      <c r="T51">
        <v>44</v>
      </c>
      <c r="U51" s="22">
        <v>177.2</v>
      </c>
      <c r="V51" s="22">
        <v>82</v>
      </c>
      <c r="W51" s="22"/>
      <c r="AP51" s="521" t="s">
        <v>1101</v>
      </c>
      <c r="AQ51" s="151" t="s">
        <v>181</v>
      </c>
      <c r="AR51" s="70"/>
      <c r="AS51" s="60"/>
    </row>
    <row r="52" spans="1:77" ht="15.75" thickBot="1">
      <c r="A52" s="669">
        <v>32</v>
      </c>
      <c r="B52" s="650">
        <v>14.45</v>
      </c>
      <c r="C52" s="513"/>
      <c r="D52" s="513">
        <v>3</v>
      </c>
      <c r="E52">
        <f t="shared" si="3"/>
        <v>273</v>
      </c>
      <c r="F52" s="513">
        <v>55</v>
      </c>
      <c r="G52" s="513">
        <v>197</v>
      </c>
      <c r="H52" s="639" t="s">
        <v>2075</v>
      </c>
      <c r="I52" t="str">
        <f t="shared" si="1"/>
        <v>32</v>
      </c>
      <c r="J52" s="362">
        <f t="shared" si="2"/>
        <v>0.19700000000000001</v>
      </c>
      <c r="K52">
        <v>6</v>
      </c>
      <c r="R52" s="521" t="s">
        <v>283</v>
      </c>
      <c r="S52">
        <v>178</v>
      </c>
      <c r="T52">
        <v>8</v>
      </c>
      <c r="U52">
        <v>175.8</v>
      </c>
      <c r="V52">
        <v>-46.7</v>
      </c>
      <c r="X52" s="521" t="s">
        <v>92</v>
      </c>
      <c r="Y52">
        <v>186</v>
      </c>
      <c r="Z52">
        <v>-32</v>
      </c>
      <c r="AA52">
        <v>223.7</v>
      </c>
      <c r="AB52">
        <v>-86.1</v>
      </c>
      <c r="AC52" s="151" t="s">
        <v>1975</v>
      </c>
      <c r="AE52" s="521" t="s">
        <v>2076</v>
      </c>
      <c r="AF52">
        <v>169</v>
      </c>
      <c r="AG52">
        <v>35</v>
      </c>
      <c r="AH52">
        <v>9</v>
      </c>
      <c r="AI52">
        <v>170.9</v>
      </c>
      <c r="AJ52">
        <v>-18.8</v>
      </c>
      <c r="AK52" s="521" t="s">
        <v>1789</v>
      </c>
      <c r="AL52">
        <v>264</v>
      </c>
      <c r="AM52">
        <v>12</v>
      </c>
      <c r="AN52">
        <v>11</v>
      </c>
      <c r="AP52" s="521" t="s">
        <v>113</v>
      </c>
      <c r="AQ52" s="151" t="s">
        <v>114</v>
      </c>
      <c r="AR52" s="651"/>
      <c r="AS52" s="219"/>
      <c r="AT52" s="7">
        <v>-68.8</v>
      </c>
      <c r="AY52" s="151"/>
      <c r="BD52" s="647"/>
    </row>
    <row r="53" spans="1:77">
      <c r="A53" s="513"/>
      <c r="B53" s="650"/>
      <c r="C53" s="639" t="s">
        <v>509</v>
      </c>
      <c r="D53" s="513"/>
      <c r="E53" s="513"/>
      <c r="F53" s="513"/>
      <c r="G53" s="513"/>
      <c r="H53" s="513"/>
      <c r="AY53" s="151"/>
      <c r="BD53" s="647"/>
    </row>
    <row r="54" spans="1:77">
      <c r="A54" s="639"/>
      <c r="B54" s="513"/>
      <c r="C54" s="513"/>
      <c r="D54" s="513"/>
      <c r="E54" s="513"/>
      <c r="F54" s="513"/>
      <c r="G54" s="513"/>
      <c r="H54" s="513"/>
      <c r="AT54" s="221"/>
      <c r="AU54" s="150"/>
      <c r="AV54" s="150"/>
      <c r="AY54" s="151"/>
      <c r="BD54" s="647"/>
      <c r="BQ54" s="647"/>
    </row>
    <row r="55" spans="1:77">
      <c r="A55" s="653"/>
      <c r="B55" s="653"/>
      <c r="C55" s="653"/>
      <c r="D55" s="7"/>
      <c r="E55" s="7"/>
      <c r="F55" s="7"/>
      <c r="G55" s="7"/>
      <c r="H55" s="7"/>
      <c r="I55" s="7"/>
      <c r="J55" s="652"/>
    </row>
    <row r="56" spans="1:77">
      <c r="A56" s="654" t="s">
        <v>2077</v>
      </c>
      <c r="B56" s="654"/>
      <c r="C56" s="654" t="s">
        <v>1957</v>
      </c>
      <c r="D56" s="7"/>
      <c r="E56" s="7"/>
      <c r="F56" s="7"/>
      <c r="G56" s="7"/>
      <c r="H56" s="7"/>
      <c r="I56" s="7"/>
      <c r="J56" s="652"/>
    </row>
    <row r="57" spans="1:77">
      <c r="A57" s="655">
        <v>0</v>
      </c>
      <c r="B57" s="655"/>
      <c r="C57" s="66">
        <v>1.55</v>
      </c>
      <c r="D57" s="7"/>
      <c r="E57" s="7"/>
      <c r="G57" s="7"/>
      <c r="H57" s="7"/>
      <c r="I57" s="7"/>
      <c r="J57" s="652"/>
    </row>
    <row r="58" spans="1:77">
      <c r="A58" s="656">
        <v>1</v>
      </c>
      <c r="B58" s="656"/>
      <c r="C58" s="51">
        <v>1.7</v>
      </c>
      <c r="D58" s="7"/>
      <c r="E58" s="7"/>
    </row>
    <row r="59" spans="1:77">
      <c r="A59" s="656">
        <v>2</v>
      </c>
      <c r="B59" s="656"/>
      <c r="C59" s="51">
        <v>2.15</v>
      </c>
      <c r="D59" s="7"/>
      <c r="E59" s="7"/>
    </row>
    <row r="60" spans="1:77">
      <c r="A60" s="656">
        <v>3</v>
      </c>
      <c r="B60" s="656"/>
      <c r="C60" s="51">
        <v>2.5499999999999998</v>
      </c>
      <c r="D60" s="7"/>
      <c r="E60" s="7"/>
    </row>
    <row r="61" spans="1:77">
      <c r="A61" s="656">
        <v>4</v>
      </c>
      <c r="B61" s="656"/>
      <c r="C61" s="51">
        <v>2.75</v>
      </c>
      <c r="D61" s="7"/>
      <c r="E61" s="7"/>
    </row>
    <row r="62" spans="1:77">
      <c r="A62" s="656">
        <v>5</v>
      </c>
      <c r="B62" s="656"/>
      <c r="C62" s="51">
        <v>3.05</v>
      </c>
      <c r="D62" s="7"/>
      <c r="E62" s="7"/>
    </row>
    <row r="63" spans="1:77">
      <c r="A63" s="656">
        <v>6</v>
      </c>
      <c r="B63" s="656"/>
      <c r="C63" s="51">
        <v>3.35</v>
      </c>
      <c r="D63" s="7"/>
      <c r="E63" s="7"/>
    </row>
    <row r="64" spans="1:77">
      <c r="A64" s="656" t="s">
        <v>2078</v>
      </c>
      <c r="B64" s="656"/>
      <c r="C64" s="51">
        <v>4.3</v>
      </c>
      <c r="D64" s="7"/>
      <c r="E64" s="7"/>
    </row>
    <row r="65" spans="1:5">
      <c r="A65" s="656" t="s">
        <v>2013</v>
      </c>
      <c r="B65" s="656"/>
      <c r="C65" s="51">
        <v>4.5</v>
      </c>
      <c r="D65" s="7"/>
      <c r="E65" s="7"/>
    </row>
    <row r="66" spans="1:5">
      <c r="A66" s="656">
        <v>8</v>
      </c>
      <c r="B66" s="656"/>
      <c r="C66" s="51">
        <v>4.75</v>
      </c>
      <c r="D66" s="7"/>
      <c r="E66" s="7"/>
    </row>
    <row r="67" spans="1:5">
      <c r="A67" s="656" t="s">
        <v>2019</v>
      </c>
      <c r="B67" s="656"/>
      <c r="C67" s="51">
        <v>4.8</v>
      </c>
      <c r="D67" s="7"/>
      <c r="E67" s="7"/>
    </row>
    <row r="68" spans="1:5">
      <c r="A68" s="656">
        <v>9</v>
      </c>
      <c r="B68" s="656"/>
      <c r="C68" s="51">
        <v>4.9000000000000004</v>
      </c>
      <c r="D68" s="7"/>
      <c r="E68" s="7"/>
    </row>
    <row r="69" spans="1:5">
      <c r="A69" s="656" t="s">
        <v>2025</v>
      </c>
      <c r="B69" s="656"/>
      <c r="C69" s="51">
        <v>4.95</v>
      </c>
      <c r="D69" s="7"/>
      <c r="E69" s="7"/>
    </row>
    <row r="70" spans="1:5">
      <c r="A70" s="656" t="s">
        <v>2079</v>
      </c>
      <c r="B70" s="656"/>
      <c r="C70" s="51">
        <v>5.05</v>
      </c>
      <c r="D70" s="7"/>
      <c r="E70" s="7"/>
    </row>
    <row r="71" spans="1:5">
      <c r="A71" s="656" t="s">
        <v>2080</v>
      </c>
      <c r="B71" s="656"/>
      <c r="C71" s="51">
        <v>5.0999999999999996</v>
      </c>
      <c r="D71" s="7"/>
      <c r="E71" s="7"/>
    </row>
    <row r="72" spans="1:5">
      <c r="A72" s="656">
        <v>11</v>
      </c>
      <c r="B72" s="656"/>
      <c r="C72" s="51">
        <v>5.3</v>
      </c>
      <c r="D72" s="7"/>
      <c r="E72" s="7"/>
    </row>
    <row r="73" spans="1:5">
      <c r="A73" s="656">
        <v>12</v>
      </c>
      <c r="B73" s="656"/>
      <c r="C73" s="51">
        <v>5.55</v>
      </c>
      <c r="D73" s="7"/>
      <c r="E73" s="7"/>
    </row>
    <row r="74" spans="1:5">
      <c r="A74" s="656">
        <v>13</v>
      </c>
      <c r="B74" s="656"/>
      <c r="C74" s="51">
        <v>5.65</v>
      </c>
      <c r="D74" s="7"/>
      <c r="E74" s="7"/>
    </row>
    <row r="75" spans="1:5">
      <c r="A75" s="656">
        <v>14</v>
      </c>
      <c r="B75" s="656"/>
      <c r="C75" s="51">
        <v>5.8</v>
      </c>
      <c r="D75" s="7"/>
      <c r="E75" s="7"/>
    </row>
    <row r="76" spans="1:5">
      <c r="A76" s="656" t="s">
        <v>2040</v>
      </c>
      <c r="B76" s="656"/>
      <c r="C76" s="51">
        <v>5.9</v>
      </c>
      <c r="D76" s="7"/>
      <c r="E76" s="7"/>
    </row>
    <row r="77" spans="1:5">
      <c r="A77" s="656">
        <v>15</v>
      </c>
      <c r="B77" s="656"/>
      <c r="C77" s="51">
        <v>9.15</v>
      </c>
      <c r="D77" s="7"/>
      <c r="E77" s="7"/>
    </row>
    <row r="78" spans="1:5">
      <c r="A78" s="656">
        <v>16</v>
      </c>
      <c r="B78" s="656"/>
      <c r="C78" s="51">
        <v>9.3000000000000007</v>
      </c>
      <c r="D78" s="7"/>
      <c r="E78" s="7"/>
    </row>
    <row r="79" spans="1:5">
      <c r="A79" s="656">
        <v>17</v>
      </c>
      <c r="B79" s="656"/>
      <c r="C79" s="51">
        <v>9.4</v>
      </c>
      <c r="D79" s="7"/>
      <c r="E79" s="7"/>
    </row>
    <row r="80" spans="1:5">
      <c r="A80" s="656">
        <v>18</v>
      </c>
      <c r="B80" s="656"/>
      <c r="C80" s="51">
        <v>9.85</v>
      </c>
      <c r="D80" s="7"/>
      <c r="E80" s="7"/>
    </row>
    <row r="81" spans="1:5">
      <c r="A81" s="656">
        <v>19</v>
      </c>
      <c r="B81" s="656"/>
      <c r="C81" s="51">
        <v>10.199999999999999</v>
      </c>
      <c r="D81" s="7"/>
      <c r="E81" s="7"/>
    </row>
    <row r="82" spans="1:5">
      <c r="A82" s="656">
        <v>20</v>
      </c>
      <c r="B82" s="656"/>
      <c r="C82" s="51">
        <v>10.6</v>
      </c>
      <c r="D82" s="7"/>
      <c r="E82" s="7"/>
    </row>
    <row r="83" spans="1:5">
      <c r="A83" s="656">
        <v>21</v>
      </c>
      <c r="B83" s="656"/>
      <c r="C83" s="51">
        <v>10.9</v>
      </c>
      <c r="D83" s="7"/>
      <c r="E83" s="7"/>
    </row>
    <row r="84" spans="1:5">
      <c r="A84" s="656">
        <v>22</v>
      </c>
      <c r="B84" s="656"/>
      <c r="C84" s="51">
        <v>11.45</v>
      </c>
      <c r="D84" s="7"/>
      <c r="E84" s="7"/>
    </row>
    <row r="85" spans="1:5">
      <c r="A85" s="656">
        <v>23</v>
      </c>
      <c r="B85" s="656"/>
      <c r="C85" s="51">
        <v>11.8</v>
      </c>
      <c r="D85" s="7"/>
      <c r="E85" s="7"/>
    </row>
    <row r="86" spans="1:5">
      <c r="A86" s="656">
        <v>24</v>
      </c>
      <c r="B86" s="656"/>
      <c r="C86" s="51">
        <v>12.1</v>
      </c>
      <c r="D86" s="7"/>
      <c r="E86" s="7"/>
    </row>
    <row r="87" spans="1:5">
      <c r="A87" s="656">
        <v>25</v>
      </c>
      <c r="B87" s="656"/>
      <c r="C87" s="51">
        <v>12.3</v>
      </c>
      <c r="D87" s="7"/>
      <c r="E87" s="7"/>
    </row>
    <row r="88" spans="1:5">
      <c r="A88" s="656">
        <v>26</v>
      </c>
      <c r="B88" s="656"/>
      <c r="C88" s="51">
        <v>12.55</v>
      </c>
      <c r="D88" s="7"/>
      <c r="E88" s="7"/>
    </row>
    <row r="89" spans="1:5">
      <c r="A89" s="656">
        <v>27</v>
      </c>
      <c r="B89" s="656"/>
      <c r="C89" s="51">
        <v>12.7</v>
      </c>
      <c r="D89" s="7"/>
      <c r="E89" s="7"/>
    </row>
    <row r="90" spans="1:5">
      <c r="A90" s="656">
        <v>28</v>
      </c>
      <c r="B90" s="656"/>
      <c r="C90" s="51">
        <v>12.75</v>
      </c>
      <c r="D90" s="7"/>
      <c r="E90" s="7"/>
    </row>
    <row r="91" spans="1:5">
      <c r="A91" s="656">
        <v>29</v>
      </c>
      <c r="B91" s="656"/>
      <c r="C91" s="51">
        <v>12.95</v>
      </c>
      <c r="D91" s="7"/>
      <c r="E91" s="7"/>
    </row>
    <row r="92" spans="1:5">
      <c r="A92" s="656">
        <v>30</v>
      </c>
      <c r="B92" s="656"/>
      <c r="C92" s="51">
        <v>13.1</v>
      </c>
      <c r="D92" s="7"/>
      <c r="E92" s="7"/>
    </row>
    <row r="93" spans="1:5">
      <c r="A93" s="656">
        <v>31</v>
      </c>
      <c r="B93" s="656"/>
      <c r="C93" s="51">
        <v>13.6</v>
      </c>
      <c r="D93" s="7"/>
      <c r="E93" s="7"/>
    </row>
    <row r="94" spans="1:5">
      <c r="A94" s="656">
        <v>32</v>
      </c>
      <c r="B94" s="656"/>
      <c r="C94" s="51">
        <v>14.45</v>
      </c>
      <c r="D94" s="7"/>
      <c r="E94" s="7"/>
    </row>
    <row r="95" spans="1:5">
      <c r="C95" s="51"/>
    </row>
    <row r="96" spans="1:5">
      <c r="C96" s="51"/>
    </row>
    <row r="97" spans="3:3">
      <c r="C97" s="51"/>
    </row>
    <row r="98" spans="3:3">
      <c r="C98" s="51"/>
    </row>
    <row r="99" spans="3:3">
      <c r="C99" s="51"/>
    </row>
    <row r="100" spans="3:3">
      <c r="C100" s="51"/>
    </row>
    <row r="101" spans="3:3">
      <c r="C101" s="51"/>
    </row>
    <row r="102" spans="3:3">
      <c r="C102" s="51"/>
    </row>
    <row r="103" spans="3:3">
      <c r="C103" s="51"/>
    </row>
    <row r="104" spans="3:3">
      <c r="C104" s="51"/>
    </row>
    <row r="105" spans="3:3">
      <c r="C105" s="51"/>
    </row>
  </sheetData>
  <mergeCells count="5">
    <mergeCell ref="X2:Z2"/>
    <mergeCell ref="AF2:AH2"/>
    <mergeCell ref="AK2:AN2"/>
    <mergeCell ref="M2:N2"/>
    <mergeCell ref="R2:T2"/>
  </mergeCells>
  <hyperlinks>
    <hyperlink ref="AE4" r:id="rId1"/>
    <hyperlink ref="AK8" r:id="rId2"/>
    <hyperlink ref="L8" r:id="rId3"/>
    <hyperlink ref="AE9" r:id="rId4"/>
    <hyperlink ref="AK9" r:id="rId5"/>
    <hyperlink ref="AE11" r:id="rId6"/>
    <hyperlink ref="AK13" r:id="rId7"/>
    <hyperlink ref="AE14" r:id="rId8"/>
    <hyperlink ref="AK14" r:id="rId9"/>
    <hyperlink ref="X16" r:id="rId10"/>
    <hyperlink ref="R19" r:id="rId11"/>
    <hyperlink ref="AE20" r:id="rId12"/>
    <hyperlink ref="AK20" r:id="rId13"/>
    <hyperlink ref="L21" r:id="rId14"/>
    <hyperlink ref="AK21" r:id="rId15"/>
    <hyperlink ref="R22" r:id="rId16"/>
    <hyperlink ref="AE23" r:id="rId17"/>
    <hyperlink ref="AK23" r:id="rId18"/>
    <hyperlink ref="R24" r:id="rId19"/>
    <hyperlink ref="AK24" r:id="rId20"/>
    <hyperlink ref="L25" r:id="rId21"/>
    <hyperlink ref="AK26" r:id="rId22"/>
    <hyperlink ref="AK27" r:id="rId23"/>
    <hyperlink ref="AE28" r:id="rId24"/>
    <hyperlink ref="AK28" r:id="rId25"/>
    <hyperlink ref="AK29" r:id="rId26"/>
    <hyperlink ref="AK30" r:id="rId27"/>
    <hyperlink ref="X32" r:id="rId28"/>
    <hyperlink ref="AK32" r:id="rId29"/>
    <hyperlink ref="AE33" r:id="rId30"/>
    <hyperlink ref="AK33" r:id="rId31"/>
    <hyperlink ref="AK40" r:id="rId32"/>
    <hyperlink ref="AK41" r:id="rId33"/>
    <hyperlink ref="L43" r:id="rId34"/>
    <hyperlink ref="AE42" r:id="rId35"/>
    <hyperlink ref="AK42" r:id="rId36"/>
    <hyperlink ref="L45" r:id="rId37"/>
    <hyperlink ref="L44" r:id="rId38"/>
    <hyperlink ref="X46" r:id="rId39"/>
    <hyperlink ref="R47" r:id="rId40"/>
    <hyperlink ref="L50" r:id="rId41"/>
    <hyperlink ref="R51" r:id="rId42"/>
    <hyperlink ref="AK35" r:id="rId43"/>
    <hyperlink ref="AE35" r:id="rId44"/>
    <hyperlink ref="AK37" r:id="rId45"/>
    <hyperlink ref="X39" r:id="rId46"/>
    <hyperlink ref="AK39" r:id="rId47"/>
    <hyperlink ref="AK4" r:id="rId48"/>
    <hyperlink ref="AK25" r:id="rId49"/>
    <hyperlink ref="X34" r:id="rId50"/>
    <hyperlink ref="AK34" r:id="rId51"/>
    <hyperlink ref="AK15" r:id="rId52"/>
    <hyperlink ref="AE12" r:id="rId53"/>
    <hyperlink ref="AK12" r:id="rId54"/>
    <hyperlink ref="R6" r:id="rId55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94"/>
  <sheetViews>
    <sheetView workbookViewId="0">
      <selection activeCell="L31" sqref="L31"/>
    </sheetView>
  </sheetViews>
  <sheetFormatPr defaultRowHeight="15"/>
  <cols>
    <col min="1" max="1" width="10.42578125" style="73" customWidth="1"/>
    <col min="2" max="2" width="11.28515625" style="73" customWidth="1"/>
    <col min="3" max="3" width="17.28515625" style="73" customWidth="1"/>
    <col min="4" max="4" width="9.42578125" style="155" customWidth="1"/>
    <col min="5" max="5" width="10.28515625" style="155" customWidth="1"/>
    <col min="6" max="6" width="9.140625" style="672"/>
    <col min="7" max="8" width="9.140625" style="73"/>
  </cols>
  <sheetData>
    <row r="1" spans="1:8" ht="21">
      <c r="B1" s="671" t="s">
        <v>2082</v>
      </c>
    </row>
    <row r="2" spans="1:8">
      <c r="A2" s="36"/>
      <c r="B2" s="36"/>
      <c r="C2" s="36"/>
      <c r="D2" s="673" t="s">
        <v>2083</v>
      </c>
      <c r="E2" s="155" t="s">
        <v>2084</v>
      </c>
      <c r="F2" s="672" t="s">
        <v>2085</v>
      </c>
    </row>
    <row r="3" spans="1:8">
      <c r="A3" s="156"/>
      <c r="B3" s="156"/>
      <c r="C3" s="156"/>
      <c r="D3" s="674" t="s">
        <v>14</v>
      </c>
      <c r="F3" s="672" t="s">
        <v>2086</v>
      </c>
    </row>
    <row r="4" spans="1:8">
      <c r="A4" s="26" t="s">
        <v>26</v>
      </c>
      <c r="B4" s="26" t="s">
        <v>27</v>
      </c>
      <c r="C4" s="26" t="s">
        <v>28</v>
      </c>
      <c r="D4" s="675" t="s">
        <v>30</v>
      </c>
      <c r="E4" s="155" t="s">
        <v>2087</v>
      </c>
      <c r="F4" s="672" t="s">
        <v>2088</v>
      </c>
    </row>
    <row r="6" spans="1:8">
      <c r="A6" s="670" t="s">
        <v>53</v>
      </c>
      <c r="B6" s="48"/>
      <c r="C6" s="48"/>
      <c r="D6" s="98"/>
    </row>
    <row r="7" spans="1:8">
      <c r="A7" s="73" t="s">
        <v>55</v>
      </c>
      <c r="B7" s="97">
        <v>-9.9</v>
      </c>
      <c r="C7" s="73" t="s">
        <v>2089</v>
      </c>
      <c r="D7" s="98">
        <v>26.3</v>
      </c>
      <c r="E7" s="155">
        <v>29.7</v>
      </c>
      <c r="F7" s="672">
        <f>D7/E7</f>
        <v>0.8855218855218856</v>
      </c>
      <c r="G7" s="676" t="s">
        <v>2090</v>
      </c>
    </row>
    <row r="8" spans="1:8">
      <c r="A8" s="73" t="s">
        <v>2091</v>
      </c>
      <c r="B8" s="97">
        <v>-9.9</v>
      </c>
      <c r="C8" s="73" t="s">
        <v>2092</v>
      </c>
      <c r="D8" s="98">
        <v>23</v>
      </c>
      <c r="E8" s="672">
        <v>31.63</v>
      </c>
      <c r="F8" s="672">
        <v>0.72715776161871648</v>
      </c>
      <c r="G8" s="676" t="s">
        <v>2090</v>
      </c>
    </row>
    <row r="9" spans="1:8">
      <c r="A9" s="73" t="s">
        <v>2093</v>
      </c>
      <c r="B9" s="97">
        <v>-9.9</v>
      </c>
      <c r="C9" s="73" t="s">
        <v>2092</v>
      </c>
      <c r="D9" s="98">
        <v>26.5</v>
      </c>
      <c r="E9" s="672">
        <v>31.74</v>
      </c>
      <c r="F9" s="672">
        <v>0.83490863264020165</v>
      </c>
      <c r="G9" s="676" t="s">
        <v>2090</v>
      </c>
    </row>
    <row r="10" spans="1:8">
      <c r="A10" s="73" t="s">
        <v>70</v>
      </c>
      <c r="B10" s="97">
        <v>-8.9699999999999989</v>
      </c>
      <c r="C10" s="73" t="s">
        <v>2089</v>
      </c>
      <c r="D10" s="98">
        <v>10.7</v>
      </c>
      <c r="E10" s="155">
        <v>24.74</v>
      </c>
      <c r="F10" s="672">
        <f>D10/E10</f>
        <v>0.43249797898140663</v>
      </c>
    </row>
    <row r="11" spans="1:8">
      <c r="A11" s="73" t="s">
        <v>2094</v>
      </c>
      <c r="B11" s="97">
        <v>-8.9699999999999989</v>
      </c>
      <c r="C11" s="73" t="s">
        <v>2095</v>
      </c>
      <c r="D11" s="98">
        <v>13.7</v>
      </c>
      <c r="E11" s="672">
        <v>24.67</v>
      </c>
      <c r="F11" s="672">
        <v>0.55533036076205911</v>
      </c>
      <c r="G11" s="73" t="s">
        <v>2096</v>
      </c>
    </row>
    <row r="12" spans="1:8">
      <c r="A12" s="73" t="s">
        <v>2097</v>
      </c>
      <c r="B12" s="97">
        <v>-8.9699999999999989</v>
      </c>
      <c r="C12" s="73" t="s">
        <v>2095</v>
      </c>
      <c r="D12" s="98">
        <v>14.3</v>
      </c>
      <c r="E12" s="672">
        <v>22.41</v>
      </c>
      <c r="F12" s="672">
        <v>0.63810798750557784</v>
      </c>
    </row>
    <row r="13" spans="1:8">
      <c r="A13" s="73" t="s">
        <v>2098</v>
      </c>
      <c r="B13" s="97">
        <v>-7.97</v>
      </c>
      <c r="C13" s="73" t="s">
        <v>2099</v>
      </c>
      <c r="D13" s="98">
        <v>22.6</v>
      </c>
      <c r="E13" s="672">
        <v>25.84</v>
      </c>
      <c r="F13" s="672">
        <v>0.87461300309597534</v>
      </c>
      <c r="G13" s="676" t="s">
        <v>2100</v>
      </c>
      <c r="H13" s="677"/>
    </row>
    <row r="14" spans="1:8">
      <c r="A14" s="73" t="s">
        <v>89</v>
      </c>
      <c r="B14" s="97">
        <v>-7.4499999999999993</v>
      </c>
      <c r="C14" s="73" t="s">
        <v>2101</v>
      </c>
      <c r="D14" s="98">
        <v>16</v>
      </c>
      <c r="E14" s="155">
        <v>24.31</v>
      </c>
      <c r="F14" s="672">
        <f>D14/E14</f>
        <v>0.65816536404771697</v>
      </c>
      <c r="G14" s="676" t="s">
        <v>196</v>
      </c>
    </row>
    <row r="15" spans="1:8">
      <c r="A15" s="73" t="s">
        <v>2102</v>
      </c>
      <c r="B15" s="97">
        <v>-7.4499999999999993</v>
      </c>
      <c r="C15" s="73" t="s">
        <v>2103</v>
      </c>
      <c r="D15" s="98">
        <v>19.2</v>
      </c>
      <c r="E15" s="672">
        <v>26.49</v>
      </c>
      <c r="F15" s="672">
        <v>0.72480181200452998</v>
      </c>
      <c r="G15" s="676" t="s">
        <v>196</v>
      </c>
    </row>
    <row r="16" spans="1:8">
      <c r="A16" s="73" t="s">
        <v>2104</v>
      </c>
      <c r="B16" s="97">
        <v>-7.4499999999999993</v>
      </c>
      <c r="C16" s="73" t="s">
        <v>2103</v>
      </c>
      <c r="D16" s="98">
        <v>18.5</v>
      </c>
      <c r="E16" s="672">
        <v>24.04</v>
      </c>
      <c r="F16" s="672">
        <v>0.76955074875207985</v>
      </c>
      <c r="G16" s="676" t="s">
        <v>196</v>
      </c>
    </row>
    <row r="17" spans="1:8">
      <c r="A17" s="73" t="s">
        <v>108</v>
      </c>
      <c r="B17" s="97">
        <v>-6.68</v>
      </c>
      <c r="C17" s="73" t="s">
        <v>2105</v>
      </c>
      <c r="D17" s="98">
        <v>38.1</v>
      </c>
      <c r="E17" s="155">
        <v>25.5</v>
      </c>
      <c r="F17" s="672">
        <f>D17/E17</f>
        <v>1.4941176470588236</v>
      </c>
      <c r="G17" s="676" t="s">
        <v>2106</v>
      </c>
    </row>
    <row r="18" spans="1:8">
      <c r="A18" s="73" t="s">
        <v>2107</v>
      </c>
      <c r="B18" s="97">
        <v>-6.68</v>
      </c>
      <c r="C18" s="73" t="s">
        <v>2108</v>
      </c>
      <c r="D18" s="98">
        <v>41.7</v>
      </c>
      <c r="E18" s="672">
        <v>29.35</v>
      </c>
      <c r="F18" s="672">
        <v>1.4207836456558773</v>
      </c>
      <c r="G18" s="676" t="s">
        <v>2106</v>
      </c>
    </row>
    <row r="19" spans="1:8">
      <c r="A19" s="73" t="s">
        <v>115</v>
      </c>
      <c r="B19" s="97">
        <v>-5.9499999999999993</v>
      </c>
      <c r="C19" s="73" t="s">
        <v>2109</v>
      </c>
      <c r="D19" s="98">
        <v>42.1</v>
      </c>
      <c r="E19" s="155">
        <v>22.63</v>
      </c>
      <c r="F19" s="672">
        <f>D19/E19</f>
        <v>1.8603623508616882</v>
      </c>
    </row>
    <row r="20" spans="1:8">
      <c r="A20" s="73" t="s">
        <v>2110</v>
      </c>
      <c r="B20" s="97">
        <v>-5.9499999999999993</v>
      </c>
      <c r="C20" s="73" t="s">
        <v>2099</v>
      </c>
      <c r="D20" s="98">
        <v>34.200000000000003</v>
      </c>
      <c r="E20" s="672">
        <v>22.12</v>
      </c>
      <c r="F20" s="672">
        <v>1.546112115732369</v>
      </c>
      <c r="G20" s="73" t="s">
        <v>2111</v>
      </c>
    </row>
    <row r="21" spans="1:8">
      <c r="A21" s="73" t="s">
        <v>124</v>
      </c>
      <c r="B21" s="678">
        <v>-4.6999999999999993</v>
      </c>
      <c r="C21" s="73" t="s">
        <v>125</v>
      </c>
      <c r="D21" s="98">
        <v>23.9</v>
      </c>
      <c r="E21" s="155">
        <v>21.78</v>
      </c>
      <c r="F21" s="672">
        <f>D21/E21</f>
        <v>1.0973370064279153</v>
      </c>
      <c r="G21" s="676" t="s">
        <v>2112</v>
      </c>
    </row>
    <row r="22" spans="1:8">
      <c r="A22" s="73" t="s">
        <v>131</v>
      </c>
      <c r="B22" s="678">
        <v>-4.6999999999999993</v>
      </c>
      <c r="C22" s="73" t="s">
        <v>2113</v>
      </c>
      <c r="D22" s="98">
        <v>35.1</v>
      </c>
      <c r="E22" s="155">
        <v>27.24</v>
      </c>
      <c r="F22" s="672">
        <f>D22/E22</f>
        <v>1.2885462555066081</v>
      </c>
      <c r="G22" s="676" t="s">
        <v>2113</v>
      </c>
    </row>
    <row r="23" spans="1:8">
      <c r="A23" s="73" t="s">
        <v>2114</v>
      </c>
      <c r="B23" s="97">
        <v>-4.6999999999999993</v>
      </c>
      <c r="C23" s="73" t="s">
        <v>2115</v>
      </c>
      <c r="D23" s="98">
        <v>28.733333333333334</v>
      </c>
      <c r="E23" s="672">
        <v>28.08</v>
      </c>
      <c r="F23" s="672">
        <v>1.0232668566001901</v>
      </c>
      <c r="G23" s="676" t="s">
        <v>2113</v>
      </c>
    </row>
    <row r="24" spans="1:8">
      <c r="A24" s="73" t="s">
        <v>2116</v>
      </c>
      <c r="B24" s="97">
        <v>-4.6999999999999993</v>
      </c>
      <c r="C24" s="73" t="s">
        <v>2115</v>
      </c>
      <c r="D24" s="98">
        <v>33.966666666666661</v>
      </c>
      <c r="E24" s="672">
        <v>28.49</v>
      </c>
      <c r="F24" s="672">
        <v>1.1922311922311921</v>
      </c>
      <c r="G24" s="676" t="s">
        <v>2113</v>
      </c>
    </row>
    <row r="25" spans="1:8">
      <c r="A25" s="73" t="s">
        <v>144</v>
      </c>
      <c r="B25" s="97">
        <v>-4.3899999999999997</v>
      </c>
      <c r="C25" s="73" t="s">
        <v>356</v>
      </c>
      <c r="D25" s="98">
        <v>47.2</v>
      </c>
      <c r="E25" s="155">
        <v>26.69</v>
      </c>
      <c r="F25" s="672">
        <f>D25/E25</f>
        <v>1.7684526039715249</v>
      </c>
      <c r="G25" s="676" t="s">
        <v>356</v>
      </c>
    </row>
    <row r="26" spans="1:8">
      <c r="A26" s="73" t="s">
        <v>150</v>
      </c>
      <c r="B26" s="97">
        <v>-3.6499999999999995</v>
      </c>
      <c r="C26" s="73" t="s">
        <v>2117</v>
      </c>
      <c r="D26" s="98">
        <v>37.700000000000003</v>
      </c>
      <c r="E26" s="155">
        <v>24.17</v>
      </c>
      <c r="F26" s="672">
        <f>D26/E26</f>
        <v>1.5597848572610675</v>
      </c>
      <c r="G26" s="676" t="s">
        <v>2118</v>
      </c>
    </row>
    <row r="27" spans="1:8">
      <c r="A27" s="73" t="s">
        <v>2119</v>
      </c>
      <c r="B27" s="97">
        <v>-3.6499999999999995</v>
      </c>
      <c r="C27" s="73" t="s">
        <v>2103</v>
      </c>
      <c r="D27" s="98">
        <v>37.4</v>
      </c>
      <c r="E27" s="672">
        <v>27.43</v>
      </c>
      <c r="F27" s="672">
        <v>1.3634706525701785</v>
      </c>
      <c r="G27" s="676" t="s">
        <v>2118</v>
      </c>
    </row>
    <row r="28" spans="1:8">
      <c r="A28" s="73" t="s">
        <v>2120</v>
      </c>
      <c r="B28" s="97">
        <v>-3.6499999999999995</v>
      </c>
      <c r="C28" s="73" t="s">
        <v>2103</v>
      </c>
      <c r="D28" s="98">
        <v>41.1</v>
      </c>
      <c r="E28" s="672">
        <v>26.72</v>
      </c>
      <c r="F28" s="672">
        <v>1.5381736526946108</v>
      </c>
      <c r="G28" s="676" t="s">
        <v>2118</v>
      </c>
    </row>
    <row r="29" spans="1:8">
      <c r="A29" s="73" t="s">
        <v>153</v>
      </c>
      <c r="B29" s="97">
        <v>-2.8499999999999996</v>
      </c>
      <c r="C29" s="73" t="s">
        <v>2089</v>
      </c>
      <c r="D29" s="98">
        <v>49</v>
      </c>
      <c r="E29" s="155">
        <v>28.11</v>
      </c>
      <c r="F29" s="672">
        <f>D29/E29</f>
        <v>1.7431519032372822</v>
      </c>
      <c r="G29" s="676" t="s">
        <v>196</v>
      </c>
    </row>
    <row r="30" spans="1:8">
      <c r="A30" s="73" t="s">
        <v>2121</v>
      </c>
      <c r="B30" s="97">
        <v>-2.8499999999999996</v>
      </c>
      <c r="C30" s="73" t="s">
        <v>2103</v>
      </c>
      <c r="D30" s="98">
        <v>46.566666666666663</v>
      </c>
      <c r="E30" s="672">
        <v>28.03</v>
      </c>
      <c r="F30" s="672">
        <v>1.6613152574622427</v>
      </c>
      <c r="G30" s="676" t="s">
        <v>196</v>
      </c>
    </row>
    <row r="31" spans="1:8" ht="15.75" thickBot="1">
      <c r="A31" s="38" t="s">
        <v>2122</v>
      </c>
      <c r="B31" s="157">
        <v>-2.8499999999999996</v>
      </c>
      <c r="C31" s="38" t="s">
        <v>2123</v>
      </c>
      <c r="D31" s="679">
        <v>51.866666666666667</v>
      </c>
      <c r="E31" s="680">
        <v>29.14</v>
      </c>
      <c r="F31" s="680">
        <v>1.779913063372226</v>
      </c>
      <c r="G31" s="676" t="s">
        <v>196</v>
      </c>
      <c r="H31" s="38"/>
    </row>
    <row r="32" spans="1:8">
      <c r="A32" s="73" t="s">
        <v>160</v>
      </c>
      <c r="B32" s="97">
        <v>-2.17</v>
      </c>
      <c r="C32" s="73" t="s">
        <v>2109</v>
      </c>
      <c r="D32" s="98">
        <v>16.8</v>
      </c>
      <c r="E32" s="155">
        <v>29.22</v>
      </c>
      <c r="F32" s="672">
        <f>D32/E32</f>
        <v>0.57494866529774136</v>
      </c>
      <c r="G32" s="676" t="s">
        <v>2124</v>
      </c>
    </row>
    <row r="33" spans="1:8">
      <c r="A33" s="73" t="s">
        <v>2125</v>
      </c>
      <c r="B33" s="97">
        <v>-2.17</v>
      </c>
      <c r="C33" s="73" t="s">
        <v>2123</v>
      </c>
      <c r="D33" s="98">
        <v>19</v>
      </c>
      <c r="E33" s="672">
        <v>31.77</v>
      </c>
      <c r="F33" s="672">
        <v>0.59804847340258105</v>
      </c>
      <c r="G33" s="676" t="s">
        <v>2124</v>
      </c>
    </row>
    <row r="34" spans="1:8">
      <c r="A34" s="73" t="s">
        <v>169</v>
      </c>
      <c r="B34" s="678">
        <v>-1.4499999999999993</v>
      </c>
      <c r="C34" s="73" t="s">
        <v>2089</v>
      </c>
      <c r="D34" s="98">
        <v>16.5</v>
      </c>
      <c r="E34" s="155">
        <v>29.2</v>
      </c>
      <c r="F34" s="672">
        <f>D34/E34</f>
        <v>0.56506849315068497</v>
      </c>
      <c r="G34" s="676" t="s">
        <v>2124</v>
      </c>
    </row>
    <row r="35" spans="1:8">
      <c r="A35" s="73" t="s">
        <v>182</v>
      </c>
      <c r="B35" s="678">
        <v>-1.4499999999999993</v>
      </c>
      <c r="C35" s="73" t="s">
        <v>2089</v>
      </c>
      <c r="D35" s="98">
        <v>15.5</v>
      </c>
      <c r="E35" s="155">
        <v>22.6</v>
      </c>
      <c r="F35" s="672">
        <f>D35/E35</f>
        <v>0.68584070796460173</v>
      </c>
      <c r="G35" s="676" t="s">
        <v>2124</v>
      </c>
    </row>
    <row r="36" spans="1:8">
      <c r="A36" s="73" t="s">
        <v>2126</v>
      </c>
      <c r="B36" s="97">
        <v>-1.4499999999999993</v>
      </c>
      <c r="C36" s="73" t="s">
        <v>2127</v>
      </c>
      <c r="D36" s="98">
        <v>16.099999999999998</v>
      </c>
      <c r="E36" s="672">
        <v>31.13</v>
      </c>
      <c r="F36" s="672">
        <v>0.51718599421779632</v>
      </c>
      <c r="G36" s="676" t="s">
        <v>2124</v>
      </c>
    </row>
    <row r="37" spans="1:8">
      <c r="A37" s="73" t="s">
        <v>2128</v>
      </c>
      <c r="B37" s="97">
        <v>-1.4499999999999993</v>
      </c>
      <c r="C37" s="73" t="s">
        <v>2127</v>
      </c>
      <c r="D37" s="98">
        <v>12.1</v>
      </c>
      <c r="E37" s="672">
        <v>25.05</v>
      </c>
      <c r="F37" s="672">
        <v>0.48303393213572854</v>
      </c>
      <c r="G37" s="676" t="s">
        <v>2124</v>
      </c>
    </row>
    <row r="38" spans="1:8">
      <c r="A38" s="73" t="s">
        <v>2129</v>
      </c>
      <c r="B38" s="97">
        <v>-1.4499999999999993</v>
      </c>
      <c r="C38" s="73" t="s">
        <v>2127</v>
      </c>
      <c r="D38" s="98">
        <v>17.099999999999998</v>
      </c>
      <c r="E38" s="672">
        <v>25.14</v>
      </c>
      <c r="F38" s="672">
        <v>0.68019093078758941</v>
      </c>
      <c r="G38" s="676" t="s">
        <v>2124</v>
      </c>
    </row>
    <row r="39" spans="1:8">
      <c r="A39" s="73" t="s">
        <v>2130</v>
      </c>
      <c r="B39" s="97">
        <v>-1.4499999999999993</v>
      </c>
      <c r="C39" s="73" t="s">
        <v>2127</v>
      </c>
      <c r="D39" s="98">
        <v>16.5</v>
      </c>
      <c r="E39" s="672">
        <v>26.21</v>
      </c>
      <c r="F39" s="672">
        <v>0.62953071346814193</v>
      </c>
      <c r="G39" s="676" t="s">
        <v>2124</v>
      </c>
    </row>
    <row r="40" spans="1:8">
      <c r="A40" s="73" t="s">
        <v>187</v>
      </c>
      <c r="B40" s="97">
        <v>-1.9999999999999574E-2</v>
      </c>
      <c r="C40" s="73" t="s">
        <v>2109</v>
      </c>
      <c r="D40" s="681">
        <v>48.8</v>
      </c>
      <c r="E40" s="682">
        <v>23.26</v>
      </c>
      <c r="F40" s="683">
        <f>D40/E40</f>
        <v>2.0980223559759241</v>
      </c>
      <c r="G40" s="676" t="s">
        <v>2131</v>
      </c>
    </row>
    <row r="41" spans="1:8">
      <c r="A41" s="73" t="s">
        <v>2132</v>
      </c>
      <c r="B41" s="97">
        <v>-1.9999999999999574E-2</v>
      </c>
      <c r="C41" s="73" t="s">
        <v>2133</v>
      </c>
      <c r="D41" s="98">
        <v>20.3</v>
      </c>
      <c r="E41" s="672">
        <v>26.44</v>
      </c>
      <c r="F41" s="672">
        <v>0.76777609682299541</v>
      </c>
      <c r="G41" s="676" t="s">
        <v>2131</v>
      </c>
    </row>
    <row r="42" spans="1:8">
      <c r="A42" s="73" t="s">
        <v>2134</v>
      </c>
      <c r="B42" s="97">
        <v>-1.9999999999999574E-2</v>
      </c>
      <c r="C42" s="73" t="s">
        <v>2133</v>
      </c>
      <c r="D42" s="98">
        <v>20.533333333333335</v>
      </c>
      <c r="E42" s="672">
        <v>26.7</v>
      </c>
      <c r="F42" s="672">
        <v>0.76903870162297139</v>
      </c>
      <c r="G42" s="676" t="s">
        <v>2131</v>
      </c>
    </row>
    <row r="43" spans="1:8">
      <c r="A43" s="73" t="s">
        <v>195</v>
      </c>
      <c r="B43" s="97">
        <v>0.41999999999999993</v>
      </c>
      <c r="C43" s="73" t="s">
        <v>2135</v>
      </c>
      <c r="D43" s="98">
        <v>36.799999999999997</v>
      </c>
      <c r="E43" s="155">
        <v>20.059999999999999</v>
      </c>
      <c r="F43" s="672">
        <f>D43/E43</f>
        <v>1.8344965104685942</v>
      </c>
      <c r="G43" s="133" t="s">
        <v>2136</v>
      </c>
      <c r="H43" s="133"/>
    </row>
    <row r="44" spans="1:8">
      <c r="A44" s="73" t="s">
        <v>2137</v>
      </c>
      <c r="B44" s="97">
        <v>0.41999999999999993</v>
      </c>
      <c r="C44" s="73" t="s">
        <v>2138</v>
      </c>
      <c r="D44" s="98">
        <v>45.29999999999999</v>
      </c>
      <c r="E44" s="672">
        <v>22.42</v>
      </c>
      <c r="F44" s="672">
        <v>2.0205173951828717</v>
      </c>
      <c r="G44" s="133" t="s">
        <v>2136</v>
      </c>
      <c r="H44" s="133"/>
    </row>
    <row r="45" spans="1:8">
      <c r="A45" s="73" t="s">
        <v>2139</v>
      </c>
      <c r="B45" s="97">
        <v>0.41999999999999993</v>
      </c>
      <c r="C45" s="73" t="s">
        <v>2138</v>
      </c>
      <c r="D45" s="98">
        <v>47.800000000000004</v>
      </c>
      <c r="E45" s="672">
        <v>23.27</v>
      </c>
      <c r="F45" s="672">
        <v>2.0541469703480879</v>
      </c>
      <c r="G45" s="133" t="s">
        <v>2136</v>
      </c>
      <c r="H45" s="133"/>
    </row>
    <row r="46" spans="1:8">
      <c r="A46" s="73" t="s">
        <v>206</v>
      </c>
      <c r="B46" s="97">
        <v>1.0999999999999996</v>
      </c>
      <c r="C46" s="73" t="s">
        <v>2140</v>
      </c>
      <c r="D46" s="98">
        <v>19.3</v>
      </c>
      <c r="E46" s="155">
        <v>20.18</v>
      </c>
      <c r="F46" s="672">
        <f>D46/E46</f>
        <v>0.95639246778989107</v>
      </c>
      <c r="G46" s="133" t="s">
        <v>2141</v>
      </c>
      <c r="H46" s="133"/>
    </row>
    <row r="47" spans="1:8">
      <c r="A47" s="73" t="s">
        <v>2142</v>
      </c>
      <c r="B47" s="97">
        <v>1.0999999999999996</v>
      </c>
      <c r="C47" s="73" t="s">
        <v>2143</v>
      </c>
      <c r="D47" s="98">
        <v>21.8</v>
      </c>
      <c r="E47" s="672">
        <v>22.28</v>
      </c>
      <c r="F47" s="672">
        <v>0.97845601436265706</v>
      </c>
      <c r="G47" s="133" t="s">
        <v>2141</v>
      </c>
      <c r="H47" s="133"/>
    </row>
    <row r="48" spans="1:8">
      <c r="A48" s="73" t="s">
        <v>2144</v>
      </c>
      <c r="B48" s="97">
        <v>1.0999999999999996</v>
      </c>
      <c r="C48" s="73" t="s">
        <v>2143</v>
      </c>
      <c r="D48" s="98">
        <v>21.9</v>
      </c>
      <c r="E48" s="672">
        <v>22.31</v>
      </c>
      <c r="F48" s="672">
        <v>0.9816225907664724</v>
      </c>
      <c r="G48" s="133" t="s">
        <v>2141</v>
      </c>
      <c r="H48" s="133"/>
    </row>
    <row r="49" spans="1:8">
      <c r="A49" s="73" t="s">
        <v>208</v>
      </c>
      <c r="B49" s="97">
        <v>1.5300000000000011</v>
      </c>
      <c r="C49" s="73" t="s">
        <v>2135</v>
      </c>
      <c r="D49" s="98">
        <v>31.2</v>
      </c>
      <c r="E49" s="155">
        <v>24.67</v>
      </c>
      <c r="F49" s="672">
        <f>D49/E49</f>
        <v>1.2646939602756384</v>
      </c>
      <c r="G49" s="676" t="s">
        <v>2090</v>
      </c>
      <c r="H49" s="133"/>
    </row>
    <row r="50" spans="1:8">
      <c r="A50" s="73" t="s">
        <v>2145</v>
      </c>
      <c r="B50" s="97">
        <v>1.5300000000000011</v>
      </c>
      <c r="C50" s="73" t="s">
        <v>2135</v>
      </c>
      <c r="D50" s="98">
        <v>30.666666666666668</v>
      </c>
      <c r="E50" s="672">
        <v>24.54</v>
      </c>
      <c r="F50" s="672">
        <v>1.249660418364575</v>
      </c>
      <c r="G50" s="676" t="s">
        <v>2090</v>
      </c>
      <c r="H50" s="133"/>
    </row>
    <row r="51" spans="1:8">
      <c r="A51" s="73" t="s">
        <v>2146</v>
      </c>
      <c r="B51" s="97">
        <v>1.5300000000000011</v>
      </c>
      <c r="C51" s="73" t="s">
        <v>2135</v>
      </c>
      <c r="D51" s="98">
        <v>36.733333333333327</v>
      </c>
      <c r="E51" s="672">
        <v>28.1</v>
      </c>
      <c r="F51" s="672">
        <v>1.30723606168446</v>
      </c>
      <c r="G51" s="676" t="s">
        <v>2090</v>
      </c>
      <c r="H51" s="133"/>
    </row>
    <row r="52" spans="1:8">
      <c r="A52" s="73" t="s">
        <v>2147</v>
      </c>
      <c r="B52" s="97">
        <v>4.7</v>
      </c>
      <c r="C52" s="73" t="s">
        <v>2148</v>
      </c>
      <c r="D52" s="98">
        <v>19.600000000000001</v>
      </c>
      <c r="E52" s="672">
        <v>20.49</v>
      </c>
      <c r="F52" s="672">
        <v>0.95656417764763313</v>
      </c>
      <c r="G52" s="676" t="s">
        <v>2149</v>
      </c>
    </row>
    <row r="53" spans="1:8">
      <c r="A53" s="73" t="s">
        <v>2150</v>
      </c>
      <c r="B53" s="97">
        <v>4.7</v>
      </c>
      <c r="C53" s="73" t="s">
        <v>2148</v>
      </c>
      <c r="D53" s="98">
        <v>19.399999999999999</v>
      </c>
      <c r="E53" s="672">
        <v>20.6</v>
      </c>
      <c r="F53" s="672">
        <v>0.9417475728155339</v>
      </c>
      <c r="G53" s="676" t="s">
        <v>2149</v>
      </c>
    </row>
    <row r="54" spans="1:8">
      <c r="A54" s="73" t="s">
        <v>2151</v>
      </c>
      <c r="B54" s="97">
        <v>5.44</v>
      </c>
      <c r="C54" s="73" t="s">
        <v>2135</v>
      </c>
      <c r="D54" s="98">
        <v>26.3</v>
      </c>
      <c r="E54" s="672">
        <v>23.36</v>
      </c>
      <c r="F54" s="672">
        <v>1.1258561643835616</v>
      </c>
      <c r="G54" s="676" t="s">
        <v>2152</v>
      </c>
      <c r="H54" s="133"/>
    </row>
    <row r="55" spans="1:8">
      <c r="A55" s="73" t="s">
        <v>2153</v>
      </c>
      <c r="B55" s="97">
        <v>5.44</v>
      </c>
      <c r="C55" s="73" t="s">
        <v>2135</v>
      </c>
      <c r="D55" s="98">
        <v>26.599999999999998</v>
      </c>
      <c r="E55" s="672">
        <v>24.18</v>
      </c>
      <c r="F55" s="672">
        <v>1.1000827129859387</v>
      </c>
      <c r="G55" s="676" t="s">
        <v>2152</v>
      </c>
      <c r="H55" s="133"/>
    </row>
    <row r="56" spans="1:8">
      <c r="A56" s="73" t="s">
        <v>221</v>
      </c>
      <c r="B56" s="97">
        <v>6.75</v>
      </c>
      <c r="C56" s="73" t="s">
        <v>2154</v>
      </c>
      <c r="D56" s="98">
        <v>37.700000000000003</v>
      </c>
      <c r="E56" s="155">
        <v>24.31</v>
      </c>
      <c r="F56" s="672">
        <f>D56/E56</f>
        <v>1.5508021390374334</v>
      </c>
      <c r="G56" s="676" t="s">
        <v>2090</v>
      </c>
      <c r="H56" s="133"/>
    </row>
    <row r="57" spans="1:8">
      <c r="A57" s="73" t="s">
        <v>2155</v>
      </c>
      <c r="B57" s="97">
        <v>6.75</v>
      </c>
      <c r="C57" s="73" t="s">
        <v>2135</v>
      </c>
      <c r="D57" s="98">
        <v>36.5</v>
      </c>
      <c r="E57" s="672">
        <v>23.77</v>
      </c>
      <c r="F57" s="672">
        <v>1.5355490113588557</v>
      </c>
      <c r="G57" s="676" t="s">
        <v>2090</v>
      </c>
      <c r="H57" s="133"/>
    </row>
    <row r="58" spans="1:8">
      <c r="A58" s="73" t="s">
        <v>2156</v>
      </c>
      <c r="B58" s="97">
        <v>7.49</v>
      </c>
      <c r="C58" s="73" t="s">
        <v>2157</v>
      </c>
      <c r="D58" s="98">
        <v>23.8</v>
      </c>
      <c r="E58" s="672">
        <v>24.02</v>
      </c>
      <c r="F58" s="672">
        <v>0.99084096586178194</v>
      </c>
      <c r="G58" s="676" t="s">
        <v>356</v>
      </c>
    </row>
    <row r="59" spans="1:8">
      <c r="A59" s="73" t="s">
        <v>228</v>
      </c>
      <c r="B59" s="97">
        <v>8.5</v>
      </c>
      <c r="C59" s="73" t="s">
        <v>196</v>
      </c>
      <c r="D59" s="98">
        <v>35.1</v>
      </c>
      <c r="E59" s="155">
        <v>23.16</v>
      </c>
      <c r="F59" s="672">
        <f>D59/E59</f>
        <v>1.5155440414507773</v>
      </c>
    </row>
    <row r="60" spans="1:8">
      <c r="A60" s="73" t="s">
        <v>2158</v>
      </c>
      <c r="B60" s="97">
        <v>8.5</v>
      </c>
      <c r="C60" s="73" t="s">
        <v>2159</v>
      </c>
      <c r="D60" s="98">
        <v>37.866666666666667</v>
      </c>
      <c r="E60" s="672">
        <v>25.03</v>
      </c>
      <c r="F60" s="672">
        <v>1.5128512451724596</v>
      </c>
      <c r="G60" s="73" t="s">
        <v>2089</v>
      </c>
    </row>
    <row r="61" spans="1:8">
      <c r="A61" s="73" t="s">
        <v>2160</v>
      </c>
      <c r="B61" s="97">
        <v>10.32</v>
      </c>
      <c r="C61" s="73" t="s">
        <v>2159</v>
      </c>
      <c r="D61" s="98">
        <v>43.5</v>
      </c>
      <c r="E61" s="672">
        <v>26.12</v>
      </c>
      <c r="F61" s="672">
        <v>1.6653905053598774</v>
      </c>
      <c r="G61" s="73" t="s">
        <v>2109</v>
      </c>
    </row>
    <row r="62" spans="1:8">
      <c r="A62" s="73" t="s">
        <v>2161</v>
      </c>
      <c r="B62" s="97">
        <v>10.32</v>
      </c>
      <c r="C62" s="73" t="s">
        <v>2159</v>
      </c>
      <c r="D62" s="98">
        <v>45.5</v>
      </c>
      <c r="E62" s="672">
        <v>26.84</v>
      </c>
      <c r="F62" s="672">
        <v>1.6952309985096869</v>
      </c>
    </row>
    <row r="63" spans="1:8">
      <c r="A63" s="73" t="s">
        <v>239</v>
      </c>
      <c r="B63" s="97">
        <v>11.37</v>
      </c>
      <c r="C63" s="73" t="s">
        <v>240</v>
      </c>
      <c r="D63" s="98">
        <v>31.4</v>
      </c>
      <c r="E63" s="155">
        <v>24.21</v>
      </c>
      <c r="F63" s="672">
        <f>D63/E63</f>
        <v>1.2969847170590665</v>
      </c>
      <c r="G63" s="143" t="s">
        <v>240</v>
      </c>
      <c r="H63" s="143"/>
    </row>
    <row r="64" spans="1:8">
      <c r="A64" s="73" t="s">
        <v>2162</v>
      </c>
      <c r="B64" s="97">
        <v>11.37</v>
      </c>
      <c r="C64" s="73" t="s">
        <v>240</v>
      </c>
      <c r="D64" s="98">
        <v>35.233333333333327</v>
      </c>
      <c r="E64" s="672">
        <v>25.89</v>
      </c>
      <c r="F64" s="672">
        <v>1.3608857988927512</v>
      </c>
      <c r="G64" s="143" t="s">
        <v>240</v>
      </c>
      <c r="H64" s="143"/>
    </row>
    <row r="65" spans="1:8">
      <c r="A65" s="73" t="s">
        <v>2163</v>
      </c>
      <c r="B65" s="97">
        <v>11.37</v>
      </c>
      <c r="C65" s="73" t="s">
        <v>240</v>
      </c>
      <c r="D65" s="98">
        <v>32.5</v>
      </c>
      <c r="E65" s="672">
        <v>24.3</v>
      </c>
      <c r="F65" s="672">
        <v>1.3374485596707819</v>
      </c>
      <c r="G65" s="143" t="s">
        <v>240</v>
      </c>
      <c r="H65" s="143"/>
    </row>
    <row r="66" spans="1:8">
      <c r="A66" s="73" t="s">
        <v>246</v>
      </c>
      <c r="B66" s="97">
        <v>12.26</v>
      </c>
      <c r="C66" s="73" t="s">
        <v>2089</v>
      </c>
      <c r="D66" s="98">
        <v>34.5</v>
      </c>
      <c r="E66" s="155">
        <v>24.02</v>
      </c>
      <c r="F66" s="672">
        <f>D66/E66</f>
        <v>1.4363030807660284</v>
      </c>
    </row>
    <row r="67" spans="1:8">
      <c r="A67" s="73" t="s">
        <v>2164</v>
      </c>
      <c r="B67" s="97">
        <v>12.26</v>
      </c>
      <c r="C67" s="73" t="s">
        <v>2089</v>
      </c>
      <c r="D67" s="98">
        <v>39.166666666666664</v>
      </c>
      <c r="E67" s="672">
        <v>25.94</v>
      </c>
      <c r="F67" s="672">
        <v>1.509894628630172</v>
      </c>
      <c r="G67" s="73" t="s">
        <v>2089</v>
      </c>
    </row>
    <row r="68" spans="1:8">
      <c r="A68" s="73" t="s">
        <v>2165</v>
      </c>
      <c r="B68" s="97">
        <v>12.26</v>
      </c>
      <c r="C68" s="73" t="s">
        <v>2089</v>
      </c>
      <c r="D68" s="98">
        <v>38.1</v>
      </c>
      <c r="E68" s="672">
        <v>25.37</v>
      </c>
      <c r="F68" s="672">
        <v>1.5017737485218763</v>
      </c>
    </row>
    <row r="69" spans="1:8">
      <c r="A69" s="73" t="s">
        <v>254</v>
      </c>
      <c r="B69" s="97">
        <v>13.03</v>
      </c>
      <c r="C69" s="73" t="s">
        <v>240</v>
      </c>
      <c r="D69" s="98">
        <v>40.299999999999997</v>
      </c>
      <c r="E69" s="155">
        <v>26.33</v>
      </c>
      <c r="F69" s="672">
        <f>D69/E69</f>
        <v>1.5305734903152297</v>
      </c>
      <c r="G69" s="143" t="s">
        <v>240</v>
      </c>
      <c r="H69" s="143"/>
    </row>
    <row r="70" spans="1:8">
      <c r="A70" s="73" t="s">
        <v>2166</v>
      </c>
      <c r="B70" s="97">
        <v>13.03</v>
      </c>
      <c r="C70" s="73" t="s">
        <v>2096</v>
      </c>
      <c r="D70" s="98">
        <v>42.633333333333333</v>
      </c>
      <c r="E70" s="672">
        <v>26.75</v>
      </c>
      <c r="F70" s="672">
        <v>1.5937694704049845</v>
      </c>
      <c r="G70" s="143" t="s">
        <v>240</v>
      </c>
      <c r="H70" s="143"/>
    </row>
    <row r="71" spans="1:8">
      <c r="A71" s="73" t="s">
        <v>2167</v>
      </c>
      <c r="B71" s="97">
        <v>13.03</v>
      </c>
      <c r="C71" s="73" t="s">
        <v>2168</v>
      </c>
      <c r="D71" s="98">
        <v>38.4</v>
      </c>
      <c r="E71" s="672">
        <v>24.46</v>
      </c>
      <c r="F71" s="672">
        <v>1.5699100572363041</v>
      </c>
      <c r="G71" s="143" t="s">
        <v>240</v>
      </c>
      <c r="H71" s="143"/>
    </row>
    <row r="72" spans="1:8">
      <c r="A72" s="73" t="s">
        <v>264</v>
      </c>
      <c r="B72" s="97">
        <v>13.93</v>
      </c>
      <c r="C72" s="73" t="s">
        <v>2105</v>
      </c>
      <c r="D72" s="98">
        <v>32.200000000000003</v>
      </c>
      <c r="E72" s="155">
        <v>23.01</v>
      </c>
      <c r="F72" s="672">
        <f>D72/E72</f>
        <v>1.3993915688830942</v>
      </c>
    </row>
    <row r="73" spans="1:8">
      <c r="A73" s="73" t="s">
        <v>2169</v>
      </c>
      <c r="B73" s="97">
        <v>13.93</v>
      </c>
      <c r="C73" s="73" t="s">
        <v>2135</v>
      </c>
      <c r="D73" s="98">
        <v>30.6</v>
      </c>
      <c r="E73" s="672">
        <v>21.03</v>
      </c>
      <c r="F73" s="672">
        <v>1.4550641940085591</v>
      </c>
      <c r="G73" s="73" t="s">
        <v>2105</v>
      </c>
    </row>
    <row r="74" spans="1:8">
      <c r="A74" s="73" t="s">
        <v>2170</v>
      </c>
      <c r="B74" s="97">
        <v>13.93</v>
      </c>
      <c r="C74" s="73" t="s">
        <v>2135</v>
      </c>
      <c r="D74" s="98">
        <v>35</v>
      </c>
      <c r="E74" s="672">
        <v>24.79</v>
      </c>
      <c r="F74" s="672">
        <v>1.4118596208148448</v>
      </c>
    </row>
    <row r="75" spans="1:8">
      <c r="A75" s="73" t="s">
        <v>2171</v>
      </c>
      <c r="B75" s="97">
        <v>14.25</v>
      </c>
      <c r="C75" s="73" t="s">
        <v>2172</v>
      </c>
      <c r="D75" s="98">
        <v>38.299999999999997</v>
      </c>
      <c r="E75" s="672">
        <v>24.84</v>
      </c>
      <c r="F75" s="672">
        <v>1.5418679549114331</v>
      </c>
      <c r="G75" s="73" t="s">
        <v>2089</v>
      </c>
    </row>
    <row r="76" spans="1:8">
      <c r="A76" s="73" t="s">
        <v>2173</v>
      </c>
      <c r="B76" s="97">
        <v>14.25</v>
      </c>
      <c r="C76" s="73" t="s">
        <v>2172</v>
      </c>
      <c r="D76" s="98">
        <v>31.066666666666666</v>
      </c>
      <c r="E76" s="672">
        <v>22.82</v>
      </c>
      <c r="F76" s="672">
        <v>1.3613789073911773</v>
      </c>
    </row>
    <row r="77" spans="1:8">
      <c r="A77" s="73" t="s">
        <v>270</v>
      </c>
      <c r="B77" s="97">
        <v>15.03</v>
      </c>
      <c r="C77" s="73" t="s">
        <v>2174</v>
      </c>
      <c r="D77" s="98">
        <v>33.299999999999997</v>
      </c>
      <c r="E77" s="155">
        <v>23.36</v>
      </c>
      <c r="F77" s="672">
        <f>D77/E77</f>
        <v>1.4255136986301369</v>
      </c>
    </row>
    <row r="78" spans="1:8">
      <c r="A78" s="73" t="s">
        <v>2175</v>
      </c>
      <c r="B78" s="97">
        <v>15.03</v>
      </c>
      <c r="C78" s="73" t="s">
        <v>2089</v>
      </c>
      <c r="D78" s="98">
        <v>35.299999999999997</v>
      </c>
      <c r="E78" s="672">
        <v>25.5</v>
      </c>
      <c r="F78" s="672">
        <v>1.384313725490196</v>
      </c>
      <c r="G78" s="133" t="s">
        <v>2176</v>
      </c>
      <c r="H78" s="133"/>
    </row>
    <row r="79" spans="1:8">
      <c r="A79" s="73" t="s">
        <v>2177</v>
      </c>
      <c r="B79" s="97">
        <v>15.03</v>
      </c>
      <c r="C79" s="73" t="s">
        <v>2089</v>
      </c>
      <c r="D79" s="98">
        <v>33.699999999999996</v>
      </c>
      <c r="E79" s="672">
        <v>24.38</v>
      </c>
      <c r="F79" s="672">
        <v>1.3822805578342903</v>
      </c>
      <c r="G79" s="133" t="s">
        <v>2176</v>
      </c>
      <c r="H79" s="133"/>
    </row>
    <row r="80" spans="1:8">
      <c r="A80" s="73" t="s">
        <v>275</v>
      </c>
      <c r="B80" s="97">
        <v>16.36</v>
      </c>
      <c r="C80" s="73" t="s">
        <v>240</v>
      </c>
      <c r="D80" s="98">
        <v>24.4</v>
      </c>
      <c r="E80" s="155">
        <v>17.399999999999999</v>
      </c>
      <c r="F80" s="672">
        <f>D80/E80</f>
        <v>1.4022988505747127</v>
      </c>
      <c r="G80" s="143" t="s">
        <v>240</v>
      </c>
      <c r="H80" s="143"/>
    </row>
    <row r="81" spans="1:8">
      <c r="A81" s="73" t="s">
        <v>2178</v>
      </c>
      <c r="B81" s="97">
        <v>16.36</v>
      </c>
      <c r="C81" s="73" t="s">
        <v>240</v>
      </c>
      <c r="D81" s="98">
        <v>31.7</v>
      </c>
      <c r="E81" s="672">
        <v>20</v>
      </c>
      <c r="F81" s="672">
        <v>1.585</v>
      </c>
      <c r="G81" s="143" t="s">
        <v>240</v>
      </c>
      <c r="H81" s="143"/>
    </row>
    <row r="82" spans="1:8">
      <c r="A82" s="73" t="s">
        <v>2179</v>
      </c>
      <c r="B82" s="97">
        <v>17.7</v>
      </c>
      <c r="C82" s="73" t="s">
        <v>2180</v>
      </c>
      <c r="D82" s="98">
        <v>35.333333333333336</v>
      </c>
      <c r="E82" s="672">
        <v>22.39</v>
      </c>
      <c r="F82" s="672">
        <v>1.5780854548161383</v>
      </c>
      <c r="G82" s="73" t="s">
        <v>2089</v>
      </c>
    </row>
    <row r="83" spans="1:8">
      <c r="A83" s="73" t="s">
        <v>2181</v>
      </c>
      <c r="B83" s="97">
        <v>17.7</v>
      </c>
      <c r="C83" s="73" t="s">
        <v>2180</v>
      </c>
      <c r="D83" s="98">
        <v>33.233333333333334</v>
      </c>
      <c r="E83" s="672">
        <v>21.15</v>
      </c>
      <c r="F83" s="672">
        <v>1.5713159968479118</v>
      </c>
    </row>
    <row r="84" spans="1:8">
      <c r="A84" s="73" t="s">
        <v>286</v>
      </c>
      <c r="B84" s="97">
        <v>18.63</v>
      </c>
      <c r="C84" s="73" t="s">
        <v>2135</v>
      </c>
      <c r="D84" s="98">
        <v>37.1</v>
      </c>
      <c r="E84" s="155">
        <v>23.4</v>
      </c>
      <c r="F84" s="672">
        <f>D84/E84</f>
        <v>1.5854700854700856</v>
      </c>
    </row>
    <row r="85" spans="1:8">
      <c r="A85" s="73" t="s">
        <v>2182</v>
      </c>
      <c r="B85" s="97">
        <v>18.63</v>
      </c>
      <c r="C85" s="73" t="s">
        <v>2135</v>
      </c>
      <c r="D85" s="98">
        <v>37.200000000000003</v>
      </c>
      <c r="E85" s="672">
        <v>25.04</v>
      </c>
      <c r="F85" s="672">
        <v>1.4856230031948883</v>
      </c>
      <c r="G85" s="133" t="s">
        <v>2136</v>
      </c>
      <c r="H85" s="133"/>
    </row>
    <row r="86" spans="1:8">
      <c r="A86" s="73" t="s">
        <v>2183</v>
      </c>
      <c r="B86" s="97">
        <v>18.63</v>
      </c>
      <c r="C86" s="73" t="s">
        <v>2135</v>
      </c>
      <c r="D86" s="98">
        <v>35.9</v>
      </c>
      <c r="E86" s="672">
        <v>24.62</v>
      </c>
      <c r="F86" s="672">
        <v>1.4581640942323313</v>
      </c>
      <c r="G86" s="133"/>
      <c r="H86" s="133"/>
    </row>
    <row r="87" spans="1:8">
      <c r="A87" s="73" t="s">
        <v>305</v>
      </c>
      <c r="B87" s="97">
        <v>19.59</v>
      </c>
      <c r="C87" s="73" t="s">
        <v>125</v>
      </c>
      <c r="D87" s="98">
        <v>38.299999999999997</v>
      </c>
      <c r="E87" s="155">
        <v>24.23</v>
      </c>
      <c r="F87" s="672">
        <f>D87/E87</f>
        <v>1.580685101114321</v>
      </c>
    </row>
    <row r="88" spans="1:8">
      <c r="A88" s="73" t="s">
        <v>2184</v>
      </c>
      <c r="B88" s="97">
        <v>20.869999999999997</v>
      </c>
      <c r="C88" s="73" t="s">
        <v>2089</v>
      </c>
      <c r="D88" s="98">
        <v>37.5</v>
      </c>
      <c r="E88" s="672">
        <v>23.24</v>
      </c>
      <c r="F88" s="672">
        <v>1.6135972461273667</v>
      </c>
      <c r="G88" s="73" t="s">
        <v>2089</v>
      </c>
    </row>
    <row r="89" spans="1:8">
      <c r="A89" s="73" t="s">
        <v>2185</v>
      </c>
      <c r="B89" s="97">
        <v>20.869999999999997</v>
      </c>
      <c r="C89" s="73" t="s">
        <v>2186</v>
      </c>
      <c r="D89" s="98">
        <v>29.133333333333336</v>
      </c>
      <c r="E89" s="672">
        <v>20.84</v>
      </c>
      <c r="F89" s="672">
        <v>1.3979526551503521</v>
      </c>
    </row>
    <row r="90" spans="1:8">
      <c r="A90" s="73" t="s">
        <v>2187</v>
      </c>
      <c r="B90" s="97">
        <v>20.939999999999998</v>
      </c>
      <c r="C90" s="73" t="s">
        <v>2188</v>
      </c>
      <c r="D90" s="98">
        <v>46.4</v>
      </c>
      <c r="E90" s="672">
        <v>26.6</v>
      </c>
      <c r="F90" s="672">
        <v>1.744360902255639</v>
      </c>
      <c r="G90" s="676" t="s">
        <v>196</v>
      </c>
    </row>
    <row r="91" spans="1:8">
      <c r="A91" s="73" t="s">
        <v>2189</v>
      </c>
      <c r="B91" s="97">
        <v>20.939999999999998</v>
      </c>
      <c r="C91" s="73" t="s">
        <v>2190</v>
      </c>
      <c r="D91" s="98">
        <v>46.7</v>
      </c>
      <c r="E91" s="672">
        <v>25.85</v>
      </c>
      <c r="F91" s="672">
        <v>1.8065764023210831</v>
      </c>
      <c r="G91" s="676" t="s">
        <v>196</v>
      </c>
    </row>
    <row r="92" spans="1:8">
      <c r="A92" s="73" t="s">
        <v>2191</v>
      </c>
      <c r="B92" s="97">
        <v>22.13</v>
      </c>
      <c r="C92" s="73" t="s">
        <v>2190</v>
      </c>
      <c r="D92" s="98">
        <v>50.3</v>
      </c>
      <c r="E92" s="672">
        <v>31.67</v>
      </c>
      <c r="F92" s="672">
        <v>1.5882538680138931</v>
      </c>
      <c r="G92" s="676" t="s">
        <v>196</v>
      </c>
    </row>
    <row r="93" spans="1:8">
      <c r="A93" s="73" t="s">
        <v>2192</v>
      </c>
      <c r="B93" s="97">
        <v>22.13</v>
      </c>
      <c r="C93" s="73" t="s">
        <v>2193</v>
      </c>
      <c r="D93" s="98">
        <v>42</v>
      </c>
      <c r="E93" s="672">
        <v>26.62</v>
      </c>
      <c r="F93" s="672">
        <v>1.5777610818933132</v>
      </c>
      <c r="G93" s="676" t="s">
        <v>196</v>
      </c>
    </row>
    <row r="94" spans="1:8">
      <c r="A94" s="73" t="s">
        <v>295</v>
      </c>
      <c r="B94" s="97">
        <v>22.46</v>
      </c>
      <c r="C94" s="73" t="s">
        <v>240</v>
      </c>
      <c r="D94" s="98">
        <v>31.2</v>
      </c>
      <c r="E94" s="155">
        <v>22.489000000000001</v>
      </c>
      <c r="F94" s="672">
        <f>D94/E94</f>
        <v>1.3873449241851572</v>
      </c>
      <c r="G94" s="143" t="s">
        <v>240</v>
      </c>
      <c r="H94" s="143"/>
    </row>
    <row r="95" spans="1:8">
      <c r="A95" s="73" t="s">
        <v>2194</v>
      </c>
      <c r="B95" s="97">
        <v>22.46</v>
      </c>
      <c r="C95" s="73" t="s">
        <v>2195</v>
      </c>
      <c r="D95" s="98">
        <v>33</v>
      </c>
      <c r="E95" s="672">
        <v>22.87</v>
      </c>
      <c r="F95" s="672">
        <v>1.4429383471797113</v>
      </c>
      <c r="G95" s="143" t="s">
        <v>240</v>
      </c>
      <c r="H95" s="143"/>
    </row>
    <row r="96" spans="1:8">
      <c r="A96" s="73" t="s">
        <v>2196</v>
      </c>
      <c r="B96" s="97">
        <v>23.42</v>
      </c>
      <c r="C96" s="73" t="s">
        <v>2197</v>
      </c>
      <c r="D96" s="98">
        <v>38.799999999999997</v>
      </c>
      <c r="E96" s="672">
        <v>24.56</v>
      </c>
      <c r="F96" s="672">
        <v>1.5798045602605864</v>
      </c>
      <c r="G96" s="73" t="s">
        <v>2089</v>
      </c>
    </row>
    <row r="97" spans="1:8">
      <c r="A97" s="73" t="s">
        <v>2198</v>
      </c>
      <c r="B97" s="97">
        <v>23.42</v>
      </c>
      <c r="C97" s="73" t="s">
        <v>2197</v>
      </c>
      <c r="D97" s="98">
        <v>45.3</v>
      </c>
      <c r="E97" s="672">
        <v>25.96</v>
      </c>
      <c r="F97" s="672">
        <v>1.7449922958397532</v>
      </c>
    </row>
    <row r="98" spans="1:8">
      <c r="A98" s="73" t="s">
        <v>300</v>
      </c>
      <c r="B98" s="97">
        <v>24.03</v>
      </c>
      <c r="C98" s="73" t="s">
        <v>265</v>
      </c>
      <c r="D98" s="98">
        <v>30.7</v>
      </c>
      <c r="E98" s="155">
        <v>25.03</v>
      </c>
      <c r="F98" s="672">
        <f>D98/E98</f>
        <v>1.2265281662005592</v>
      </c>
    </row>
    <row r="99" spans="1:8">
      <c r="A99" s="73" t="s">
        <v>2199</v>
      </c>
      <c r="B99" s="97">
        <v>24.509999999999998</v>
      </c>
      <c r="C99" s="73" t="s">
        <v>2197</v>
      </c>
      <c r="D99" s="98">
        <v>32.133333333333333</v>
      </c>
      <c r="E99" s="672">
        <v>21.87</v>
      </c>
      <c r="F99" s="672">
        <v>1.4692882182594116</v>
      </c>
      <c r="G99" s="73" t="s">
        <v>2089</v>
      </c>
    </row>
    <row r="100" spans="1:8" ht="15.75" thickBot="1">
      <c r="A100" s="38" t="s">
        <v>2200</v>
      </c>
      <c r="B100" s="157">
        <v>24.509999999999998</v>
      </c>
      <c r="C100" s="38" t="s">
        <v>2197</v>
      </c>
      <c r="D100" s="679">
        <v>32.799999999999997</v>
      </c>
      <c r="E100" s="680">
        <v>22.24</v>
      </c>
      <c r="F100" s="680">
        <v>1.474820143884892</v>
      </c>
      <c r="G100" s="38"/>
      <c r="H100" s="38"/>
    </row>
    <row r="101" spans="1:8">
      <c r="A101" s="73" t="s">
        <v>2201</v>
      </c>
      <c r="B101" s="97">
        <v>24.95</v>
      </c>
      <c r="C101" s="73" t="s">
        <v>2202</v>
      </c>
      <c r="D101" s="98">
        <v>32.4</v>
      </c>
      <c r="E101" s="672">
        <v>24</v>
      </c>
      <c r="F101" s="672">
        <v>1.3499999999999999</v>
      </c>
      <c r="G101" s="73" t="s">
        <v>2089</v>
      </c>
    </row>
    <row r="102" spans="1:8">
      <c r="A102" s="73" t="s">
        <v>2203</v>
      </c>
      <c r="B102" s="97">
        <v>24.95</v>
      </c>
      <c r="C102" s="73" t="s">
        <v>2202</v>
      </c>
      <c r="D102" s="98">
        <v>35.4</v>
      </c>
      <c r="E102" s="672">
        <v>24.41</v>
      </c>
      <c r="F102" s="672">
        <v>1.4502253174928308</v>
      </c>
    </row>
    <row r="103" spans="1:8">
      <c r="A103" s="73" t="s">
        <v>326</v>
      </c>
      <c r="B103" s="97">
        <v>26.02</v>
      </c>
      <c r="C103" s="53" t="s">
        <v>240</v>
      </c>
      <c r="D103" s="98">
        <v>34</v>
      </c>
      <c r="E103" s="155">
        <v>26.370999999999999</v>
      </c>
      <c r="F103" s="672">
        <f>D103/E103</f>
        <v>1.2892950589662888</v>
      </c>
      <c r="G103" s="143" t="s">
        <v>240</v>
      </c>
      <c r="H103" s="143"/>
    </row>
    <row r="104" spans="1:8">
      <c r="A104" s="73" t="s">
        <v>329</v>
      </c>
      <c r="B104" s="97">
        <v>26.02</v>
      </c>
      <c r="C104" s="73" t="s">
        <v>240</v>
      </c>
      <c r="D104" s="98">
        <v>37.799999999999997</v>
      </c>
      <c r="E104" s="155">
        <v>27.989000000000001</v>
      </c>
      <c r="F104" s="672">
        <f>D104/E104</f>
        <v>1.3505305655793347</v>
      </c>
      <c r="G104" s="143" t="s">
        <v>240</v>
      </c>
      <c r="H104" s="143"/>
    </row>
    <row r="105" spans="1:8">
      <c r="A105" s="73" t="s">
        <v>2204</v>
      </c>
      <c r="B105" s="97">
        <v>26.02</v>
      </c>
      <c r="C105" s="73" t="s">
        <v>240</v>
      </c>
      <c r="D105" s="98">
        <v>39.6</v>
      </c>
      <c r="E105" s="672">
        <v>29.84</v>
      </c>
      <c r="F105" s="672">
        <v>1.3270777479892761</v>
      </c>
      <c r="G105" s="143" t="s">
        <v>240</v>
      </c>
      <c r="H105" s="143"/>
    </row>
    <row r="106" spans="1:8">
      <c r="A106" s="73" t="s">
        <v>332</v>
      </c>
      <c r="B106" s="97">
        <v>26.67</v>
      </c>
      <c r="C106" s="53" t="s">
        <v>240</v>
      </c>
      <c r="D106" s="98">
        <v>24.4</v>
      </c>
      <c r="E106" s="684">
        <v>20.99</v>
      </c>
      <c r="F106" s="672">
        <f>D106/E106</f>
        <v>1.1624583134826108</v>
      </c>
      <c r="G106" s="143" t="s">
        <v>240</v>
      </c>
      <c r="H106" s="143"/>
    </row>
    <row r="107" spans="1:8">
      <c r="A107" s="73" t="s">
        <v>2205</v>
      </c>
      <c r="B107" s="97">
        <v>26.67</v>
      </c>
      <c r="C107" s="73" t="s">
        <v>2135</v>
      </c>
      <c r="D107" s="98">
        <v>20.833333333333336</v>
      </c>
      <c r="E107" s="672">
        <v>18.61</v>
      </c>
      <c r="F107" s="672">
        <v>1.1194698190936774</v>
      </c>
      <c r="G107" s="143" t="s">
        <v>240</v>
      </c>
      <c r="H107" s="143"/>
    </row>
    <row r="108" spans="1:8">
      <c r="A108" s="73" t="s">
        <v>337</v>
      </c>
      <c r="B108" s="97">
        <v>27.28</v>
      </c>
      <c r="C108" s="53" t="s">
        <v>240</v>
      </c>
      <c r="D108" s="98">
        <v>33.200000000000003</v>
      </c>
      <c r="E108" s="155">
        <v>25.727</v>
      </c>
      <c r="F108" s="672">
        <f>D108/E108</f>
        <v>1.2904730438838574</v>
      </c>
      <c r="G108" s="143" t="s">
        <v>240</v>
      </c>
      <c r="H108" s="143"/>
    </row>
    <row r="109" spans="1:8">
      <c r="A109" s="73" t="s">
        <v>2206</v>
      </c>
      <c r="B109" s="97">
        <v>27.28</v>
      </c>
      <c r="C109" s="73" t="s">
        <v>2207</v>
      </c>
      <c r="D109" s="98">
        <v>35</v>
      </c>
      <c r="E109" s="672">
        <v>27.1</v>
      </c>
      <c r="F109" s="672">
        <v>1.2915129151291511</v>
      </c>
      <c r="G109" s="143" t="s">
        <v>240</v>
      </c>
      <c r="H109" s="143"/>
    </row>
    <row r="110" spans="1:8">
      <c r="A110" s="73" t="s">
        <v>342</v>
      </c>
      <c r="B110" s="97">
        <v>28.27</v>
      </c>
      <c r="C110" s="73" t="s">
        <v>240</v>
      </c>
      <c r="D110" s="98">
        <v>26.7</v>
      </c>
      <c r="E110" s="155">
        <v>19.399999999999999</v>
      </c>
      <c r="F110" s="672">
        <f>D110/E110</f>
        <v>1.3762886597938144</v>
      </c>
      <c r="G110" s="143" t="s">
        <v>240</v>
      </c>
      <c r="H110" s="143"/>
    </row>
    <row r="111" spans="1:8">
      <c r="A111" s="73" t="s">
        <v>2208</v>
      </c>
      <c r="B111" s="97">
        <v>28.27</v>
      </c>
      <c r="C111" s="73" t="s">
        <v>2207</v>
      </c>
      <c r="D111" s="98">
        <v>27.966666666666669</v>
      </c>
      <c r="E111" s="672">
        <v>20.88</v>
      </c>
      <c r="F111" s="672">
        <v>1.3393997445721586</v>
      </c>
      <c r="G111" s="143" t="s">
        <v>240</v>
      </c>
      <c r="H111" s="143"/>
    </row>
    <row r="112" spans="1:8">
      <c r="A112" s="73" t="s">
        <v>346</v>
      </c>
      <c r="B112" s="97">
        <v>29.02</v>
      </c>
      <c r="C112" s="73" t="s">
        <v>240</v>
      </c>
      <c r="D112" s="98">
        <v>23.9</v>
      </c>
      <c r="E112" s="155">
        <f>E113</f>
        <v>23.89</v>
      </c>
      <c r="F112" s="672">
        <f>D112/E112</f>
        <v>1.0004185851820844</v>
      </c>
      <c r="G112" s="143" t="s">
        <v>240</v>
      </c>
      <c r="H112" s="143"/>
    </row>
    <row r="113" spans="1:8">
      <c r="A113" s="73" t="s">
        <v>350</v>
      </c>
      <c r="B113" s="97">
        <v>29.02</v>
      </c>
      <c r="C113" s="73" t="s">
        <v>240</v>
      </c>
      <c r="D113" s="98">
        <v>31.7</v>
      </c>
      <c r="E113" s="155">
        <v>23.89</v>
      </c>
      <c r="F113" s="672">
        <f>D113/E113</f>
        <v>1.3269150272080368</v>
      </c>
      <c r="G113" s="143" t="s">
        <v>240</v>
      </c>
      <c r="H113" s="143"/>
    </row>
    <row r="114" spans="1:8">
      <c r="A114" s="73" t="s">
        <v>355</v>
      </c>
      <c r="B114" s="97">
        <v>29.77</v>
      </c>
      <c r="D114" s="98">
        <v>43.4</v>
      </c>
      <c r="E114" s="155">
        <v>22.289000000000001</v>
      </c>
      <c r="F114" s="672">
        <f>D114/E114</f>
        <v>1.9471488178025034</v>
      </c>
      <c r="G114" s="676" t="s">
        <v>356</v>
      </c>
      <c r="H114" s="143"/>
    </row>
    <row r="115" spans="1:8">
      <c r="A115" s="73" t="s">
        <v>360</v>
      </c>
      <c r="B115" s="97">
        <v>31.57</v>
      </c>
      <c r="C115" s="73" t="s">
        <v>240</v>
      </c>
      <c r="D115" s="98">
        <v>33.5</v>
      </c>
      <c r="E115" s="155">
        <v>24.346</v>
      </c>
      <c r="F115" s="672">
        <f>D115/E115</f>
        <v>1.3759960568471206</v>
      </c>
      <c r="G115" s="143" t="s">
        <v>240</v>
      </c>
      <c r="H115" s="143"/>
    </row>
    <row r="116" spans="1:8">
      <c r="A116" s="73" t="s">
        <v>2209</v>
      </c>
      <c r="B116" s="97">
        <v>31.57</v>
      </c>
      <c r="C116" s="73" t="s">
        <v>2207</v>
      </c>
      <c r="D116" s="98">
        <v>35</v>
      </c>
      <c r="E116" s="672">
        <v>24.42</v>
      </c>
      <c r="F116" s="672">
        <v>1.4332514332514332</v>
      </c>
      <c r="G116" s="143" t="s">
        <v>240</v>
      </c>
      <c r="H116" s="143"/>
    </row>
    <row r="117" spans="1:8">
      <c r="A117" s="73" t="s">
        <v>2210</v>
      </c>
      <c r="B117" s="97">
        <v>31.819999999999997</v>
      </c>
      <c r="C117" s="73" t="s">
        <v>2157</v>
      </c>
      <c r="D117" s="98">
        <v>29</v>
      </c>
      <c r="E117" s="672">
        <v>23.46</v>
      </c>
      <c r="F117" s="672">
        <v>1.2361466325660699</v>
      </c>
    </row>
    <row r="118" spans="1:8">
      <c r="A118" s="73" t="s">
        <v>386</v>
      </c>
      <c r="B118" s="97">
        <v>32.49</v>
      </c>
      <c r="C118" s="53" t="s">
        <v>2211</v>
      </c>
      <c r="D118" s="98">
        <v>23.2</v>
      </c>
      <c r="E118" s="155">
        <v>22.783999999999999</v>
      </c>
      <c r="F118" s="672">
        <f>D118/E118</f>
        <v>1.0182584269662922</v>
      </c>
      <c r="G118" s="677" t="s">
        <v>2211</v>
      </c>
      <c r="H118" s="677"/>
    </row>
    <row r="119" spans="1:8">
      <c r="A119" s="73" t="s">
        <v>2212</v>
      </c>
      <c r="B119" s="97">
        <v>32.54</v>
      </c>
      <c r="C119" s="73" t="s">
        <v>2138</v>
      </c>
      <c r="D119" s="98">
        <v>26.2</v>
      </c>
      <c r="E119" s="672">
        <v>24.82</v>
      </c>
      <c r="F119" s="672">
        <v>1.0556003223207091</v>
      </c>
      <c r="G119" s="677"/>
      <c r="H119" s="677"/>
    </row>
    <row r="120" spans="1:8">
      <c r="A120" s="73" t="s">
        <v>2213</v>
      </c>
      <c r="B120" s="97">
        <v>32.54</v>
      </c>
      <c r="C120" s="73" t="s">
        <v>2138</v>
      </c>
      <c r="D120" s="98">
        <v>26.166666666666668</v>
      </c>
      <c r="E120" s="672">
        <v>24.35</v>
      </c>
      <c r="F120" s="672">
        <v>1.0746064339493497</v>
      </c>
      <c r="G120" s="677" t="s">
        <v>2109</v>
      </c>
      <c r="H120" s="677"/>
    </row>
    <row r="121" spans="1:8">
      <c r="A121" s="73" t="s">
        <v>393</v>
      </c>
      <c r="B121" s="97">
        <v>33.67</v>
      </c>
      <c r="C121" s="73" t="s">
        <v>240</v>
      </c>
      <c r="D121" s="98">
        <v>25.8</v>
      </c>
      <c r="E121" s="155">
        <f>AVERAGE(E122:E123)</f>
        <v>21.882999999999999</v>
      </c>
      <c r="F121" s="672">
        <f>D121/E121</f>
        <v>1.1789973952383128</v>
      </c>
    </row>
    <row r="122" spans="1:8">
      <c r="A122" s="73" t="s">
        <v>362</v>
      </c>
      <c r="B122" s="97">
        <v>34.53</v>
      </c>
      <c r="C122" s="73" t="s">
        <v>240</v>
      </c>
      <c r="D122" s="98">
        <v>25.8</v>
      </c>
      <c r="E122" s="155">
        <f>E123</f>
        <v>21.882999999999999</v>
      </c>
      <c r="F122" s="672">
        <f>D122/E122</f>
        <v>1.1789973952383128</v>
      </c>
      <c r="G122" s="143" t="s">
        <v>240</v>
      </c>
      <c r="H122" s="143"/>
    </row>
    <row r="123" spans="1:8">
      <c r="A123" s="73" t="s">
        <v>365</v>
      </c>
      <c r="B123" s="97">
        <v>34.53</v>
      </c>
      <c r="C123" s="73" t="s">
        <v>240</v>
      </c>
      <c r="D123" s="98">
        <v>30.9</v>
      </c>
      <c r="E123" s="155">
        <v>21.882999999999999</v>
      </c>
      <c r="F123" s="672">
        <f>D123/E123</f>
        <v>1.4120550198784445</v>
      </c>
      <c r="G123" s="143" t="s">
        <v>240</v>
      </c>
      <c r="H123" s="143"/>
    </row>
    <row r="124" spans="1:8">
      <c r="A124" s="73" t="s">
        <v>2214</v>
      </c>
      <c r="B124" s="97">
        <v>35.47</v>
      </c>
      <c r="C124" s="73" t="s">
        <v>2215</v>
      </c>
      <c r="D124" s="98">
        <v>34</v>
      </c>
      <c r="E124" s="672">
        <v>26.04</v>
      </c>
      <c r="F124" s="672">
        <v>1.3056835637480799</v>
      </c>
      <c r="G124" s="73" t="s">
        <v>2105</v>
      </c>
    </row>
    <row r="125" spans="1:8">
      <c r="A125" s="73" t="s">
        <v>2216</v>
      </c>
      <c r="B125" s="97">
        <v>35.47</v>
      </c>
      <c r="C125" s="73" t="s">
        <v>2211</v>
      </c>
      <c r="D125" s="98">
        <v>31.266666666666669</v>
      </c>
      <c r="E125" s="672">
        <v>24.5</v>
      </c>
      <c r="F125" s="672">
        <v>1.2761904761904763</v>
      </c>
    </row>
    <row r="126" spans="1:8">
      <c r="A126" s="73" t="s">
        <v>375</v>
      </c>
      <c r="B126" s="97">
        <v>36.57</v>
      </c>
      <c r="C126" s="53" t="s">
        <v>2211</v>
      </c>
      <c r="D126" s="98">
        <v>36.9</v>
      </c>
      <c r="E126" s="155">
        <v>23.288900000000002</v>
      </c>
      <c r="F126" s="672">
        <f>D126/E126</f>
        <v>1.5844458089476101</v>
      </c>
      <c r="G126" s="677" t="s">
        <v>2211</v>
      </c>
      <c r="H126" s="677"/>
    </row>
    <row r="127" spans="1:8">
      <c r="A127" s="73" t="s">
        <v>378</v>
      </c>
      <c r="B127" s="97">
        <v>36.57</v>
      </c>
      <c r="C127" s="73" t="s">
        <v>2211</v>
      </c>
      <c r="D127" s="98">
        <v>33.200000000000003</v>
      </c>
      <c r="E127" s="155">
        <v>22.200900000000001</v>
      </c>
      <c r="F127" s="672">
        <f>D127/E127</f>
        <v>1.4954348697575324</v>
      </c>
      <c r="G127" s="677"/>
      <c r="H127" s="677"/>
    </row>
    <row r="128" spans="1:8">
      <c r="A128" s="73" t="s">
        <v>2217</v>
      </c>
      <c r="B128" s="97">
        <v>36.619999999999997</v>
      </c>
      <c r="C128" s="73" t="s">
        <v>2218</v>
      </c>
      <c r="D128" s="98">
        <v>37.5</v>
      </c>
      <c r="E128" s="672">
        <v>22.53</v>
      </c>
      <c r="F128" s="672">
        <v>1.6644474034620504</v>
      </c>
      <c r="G128" s="73" t="s">
        <v>2089</v>
      </c>
    </row>
    <row r="129" spans="1:8">
      <c r="A129" s="73" t="s">
        <v>2219</v>
      </c>
      <c r="B129" s="97">
        <v>36.619999999999997</v>
      </c>
      <c r="C129" s="73" t="s">
        <v>2215</v>
      </c>
      <c r="D129" s="98">
        <v>35.699999999999996</v>
      </c>
      <c r="E129" s="672">
        <v>22.02</v>
      </c>
      <c r="F129" s="672">
        <v>1.6212534059945503</v>
      </c>
    </row>
    <row r="130" spans="1:8">
      <c r="A130" s="73" t="s">
        <v>2220</v>
      </c>
      <c r="B130" s="97">
        <v>37.479999999999997</v>
      </c>
      <c r="C130" s="73" t="s">
        <v>2157</v>
      </c>
      <c r="D130" s="98">
        <v>32.35</v>
      </c>
      <c r="E130" s="672">
        <v>26.72</v>
      </c>
      <c r="F130" s="672">
        <v>1.2107035928143715</v>
      </c>
      <c r="G130" s="676" t="s">
        <v>2100</v>
      </c>
      <c r="H130" s="677"/>
    </row>
    <row r="131" spans="1:8">
      <c r="A131" s="73" t="s">
        <v>403</v>
      </c>
      <c r="B131" s="97">
        <v>38.42</v>
      </c>
      <c r="D131" s="98">
        <v>29.3</v>
      </c>
      <c r="E131" s="155">
        <v>20.917000000000002</v>
      </c>
      <c r="F131" s="672">
        <f>D131/E131</f>
        <v>1.4007744896495673</v>
      </c>
    </row>
    <row r="132" spans="1:8">
      <c r="A132" s="73" t="s">
        <v>2221</v>
      </c>
      <c r="B132" s="97">
        <v>39.839999999999996</v>
      </c>
      <c r="C132" s="73" t="s">
        <v>2222</v>
      </c>
      <c r="D132" s="98">
        <v>61.9</v>
      </c>
      <c r="E132" s="672">
        <v>26.46</v>
      </c>
      <c r="F132" s="672">
        <v>2.3393801965230536</v>
      </c>
      <c r="G132" s="676" t="s">
        <v>2223</v>
      </c>
    </row>
    <row r="133" spans="1:8">
      <c r="A133" s="73" t="s">
        <v>2224</v>
      </c>
      <c r="B133" s="97">
        <v>39.839999999999996</v>
      </c>
      <c r="C133" s="73" t="s">
        <v>2103</v>
      </c>
      <c r="D133" s="98">
        <v>62.366666666666667</v>
      </c>
      <c r="E133" s="672">
        <v>27.12</v>
      </c>
      <c r="F133" s="672">
        <v>2.2996558505408062</v>
      </c>
      <c r="G133" s="676" t="s">
        <v>2223</v>
      </c>
    </row>
    <row r="134" spans="1:8">
      <c r="A134" s="73" t="s">
        <v>2225</v>
      </c>
      <c r="B134" s="97">
        <v>40.67</v>
      </c>
      <c r="C134" s="73" t="s">
        <v>2135</v>
      </c>
      <c r="D134" s="98">
        <v>52.166666666666664</v>
      </c>
      <c r="E134" s="672">
        <v>26.85</v>
      </c>
      <c r="F134" s="672">
        <v>1.9428926132836746</v>
      </c>
      <c r="G134" s="676" t="s">
        <v>2090</v>
      </c>
      <c r="H134" s="133"/>
    </row>
    <row r="135" spans="1:8">
      <c r="A135" s="73" t="s">
        <v>2226</v>
      </c>
      <c r="B135" s="97">
        <v>40.67</v>
      </c>
      <c r="C135" s="73" t="s">
        <v>2135</v>
      </c>
      <c r="D135" s="98">
        <v>51.1</v>
      </c>
      <c r="E135" s="672">
        <v>26.33</v>
      </c>
      <c r="F135" s="672">
        <v>1.9407519939232816</v>
      </c>
      <c r="G135" s="676" t="s">
        <v>2090</v>
      </c>
      <c r="H135" s="133"/>
    </row>
    <row r="136" spans="1:8">
      <c r="A136" s="73" t="s">
        <v>2227</v>
      </c>
      <c r="B136" s="97">
        <v>41.68</v>
      </c>
      <c r="C136" s="73" t="s">
        <v>2180</v>
      </c>
      <c r="D136" s="98">
        <v>31.7</v>
      </c>
      <c r="E136" s="672">
        <v>23</v>
      </c>
      <c r="F136" s="672">
        <v>1.3782608695652174</v>
      </c>
    </row>
    <row r="137" spans="1:8">
      <c r="A137" s="73" t="s">
        <v>2228</v>
      </c>
      <c r="B137" s="97">
        <v>41.68</v>
      </c>
      <c r="C137" s="73" t="s">
        <v>2180</v>
      </c>
      <c r="D137" s="98">
        <v>35.866666666666667</v>
      </c>
      <c r="E137" s="672">
        <v>23.86</v>
      </c>
      <c r="F137" s="672">
        <v>1.5032131880413524</v>
      </c>
    </row>
    <row r="138" spans="1:8">
      <c r="A138" s="73" t="s">
        <v>2229</v>
      </c>
      <c r="B138" s="97">
        <v>43</v>
      </c>
      <c r="C138" s="73" t="s">
        <v>2180</v>
      </c>
      <c r="D138" s="98">
        <v>31.5</v>
      </c>
      <c r="E138" s="672">
        <v>25.74</v>
      </c>
      <c r="F138" s="672">
        <v>1.2237762237762237</v>
      </c>
      <c r="G138" s="73" t="s">
        <v>2105</v>
      </c>
    </row>
    <row r="139" spans="1:8">
      <c r="A139" s="73" t="s">
        <v>2230</v>
      </c>
      <c r="B139" s="97">
        <v>43</v>
      </c>
      <c r="C139" s="73" t="s">
        <v>2231</v>
      </c>
      <c r="D139" s="98">
        <v>27.400000000000002</v>
      </c>
      <c r="E139" s="672">
        <v>22.31</v>
      </c>
      <c r="F139" s="672">
        <v>1.2281488121918425</v>
      </c>
    </row>
    <row r="140" spans="1:8">
      <c r="A140" s="73" t="s">
        <v>419</v>
      </c>
      <c r="B140" s="97">
        <v>46.35</v>
      </c>
      <c r="C140" s="73" t="s">
        <v>2105</v>
      </c>
      <c r="D140" s="98">
        <v>33.5</v>
      </c>
      <c r="E140" s="155">
        <v>24.77</v>
      </c>
      <c r="F140" s="672">
        <f>D140/E140</f>
        <v>1.3524424707307228</v>
      </c>
      <c r="G140" s="73" t="s">
        <v>2232</v>
      </c>
    </row>
    <row r="141" spans="1:8">
      <c r="A141" s="73" t="s">
        <v>2233</v>
      </c>
      <c r="B141" s="97">
        <v>46.4</v>
      </c>
      <c r="C141" s="73" t="s">
        <v>2099</v>
      </c>
      <c r="D141" s="98">
        <v>24.166666666666668</v>
      </c>
      <c r="E141" s="672">
        <v>19.86</v>
      </c>
      <c r="F141" s="672">
        <v>1.2168512923799935</v>
      </c>
    </row>
    <row r="142" spans="1:8">
      <c r="A142" s="73" t="s">
        <v>424</v>
      </c>
      <c r="B142" s="97">
        <v>47.95</v>
      </c>
      <c r="C142" s="73" t="s">
        <v>2105</v>
      </c>
      <c r="D142" s="98">
        <v>20.8</v>
      </c>
      <c r="E142" s="155">
        <v>19.47</v>
      </c>
      <c r="F142" s="672">
        <f>D142/E142</f>
        <v>1.0683102208525939</v>
      </c>
      <c r="G142" s="73" t="s">
        <v>2105</v>
      </c>
    </row>
    <row r="143" spans="1:8">
      <c r="A143" s="73" t="s">
        <v>2234</v>
      </c>
      <c r="B143" s="97">
        <v>48</v>
      </c>
      <c r="C143" s="73" t="s">
        <v>2235</v>
      </c>
      <c r="D143" s="98">
        <v>20.8</v>
      </c>
      <c r="E143" s="672">
        <v>19.850000000000001</v>
      </c>
      <c r="F143" s="672">
        <v>1.0478589420654911</v>
      </c>
    </row>
    <row r="144" spans="1:8">
      <c r="A144" s="73" t="s">
        <v>2236</v>
      </c>
      <c r="B144" s="97">
        <v>48</v>
      </c>
      <c r="C144" s="73" t="s">
        <v>2235</v>
      </c>
      <c r="D144" s="98">
        <v>22.099999999999998</v>
      </c>
      <c r="E144" s="672">
        <v>20.09</v>
      </c>
      <c r="F144" s="672">
        <v>1.1000497760079642</v>
      </c>
    </row>
    <row r="145" spans="1:8">
      <c r="A145" s="73" t="s">
        <v>429</v>
      </c>
      <c r="B145" s="97">
        <v>49.07</v>
      </c>
      <c r="C145" s="73" t="s">
        <v>240</v>
      </c>
      <c r="D145" s="98">
        <v>33</v>
      </c>
      <c r="E145" s="155">
        <f>E146</f>
        <v>25.736000000000001</v>
      </c>
      <c r="F145" s="672">
        <f>D145/E145</f>
        <v>1.2822505439850793</v>
      </c>
      <c r="G145" s="143" t="s">
        <v>240</v>
      </c>
      <c r="H145" s="143"/>
    </row>
    <row r="146" spans="1:8">
      <c r="A146" s="73" t="s">
        <v>432</v>
      </c>
      <c r="B146" s="97">
        <v>49.07</v>
      </c>
      <c r="C146" s="73" t="s">
        <v>240</v>
      </c>
      <c r="D146" s="98">
        <v>43.1</v>
      </c>
      <c r="E146" s="155">
        <v>25.736000000000001</v>
      </c>
      <c r="F146" s="672">
        <f>D146/E146</f>
        <v>1.6746969225986945</v>
      </c>
      <c r="G146" s="143" t="s">
        <v>240</v>
      </c>
      <c r="H146" s="143"/>
    </row>
    <row r="147" spans="1:8">
      <c r="A147" s="73" t="s">
        <v>2237</v>
      </c>
      <c r="B147" s="97">
        <v>49.12</v>
      </c>
      <c r="C147" s="73" t="s">
        <v>2235</v>
      </c>
      <c r="D147" s="98">
        <v>46.4</v>
      </c>
      <c r="E147" s="672">
        <v>28.5</v>
      </c>
      <c r="F147" s="672">
        <v>1.6280701754385964</v>
      </c>
      <c r="G147" s="143" t="s">
        <v>240</v>
      </c>
      <c r="H147" s="143"/>
    </row>
    <row r="148" spans="1:8">
      <c r="A148" s="73" t="s">
        <v>436</v>
      </c>
      <c r="B148" s="97">
        <v>50.25</v>
      </c>
      <c r="D148" s="98">
        <v>29.3</v>
      </c>
      <c r="E148" s="155">
        <v>22.89</v>
      </c>
      <c r="F148" s="672">
        <f>D148/E148</f>
        <v>1.2800349497597203</v>
      </c>
      <c r="G148" s="73" t="s">
        <v>2105</v>
      </c>
    </row>
    <row r="149" spans="1:8">
      <c r="A149" s="73" t="s">
        <v>2238</v>
      </c>
      <c r="B149" s="97">
        <v>50.3</v>
      </c>
      <c r="C149" s="73" t="s">
        <v>2089</v>
      </c>
      <c r="D149" s="98">
        <v>31.4</v>
      </c>
      <c r="E149" s="672">
        <v>26</v>
      </c>
      <c r="F149" s="672">
        <v>1.2076923076923076</v>
      </c>
    </row>
    <row r="150" spans="1:8">
      <c r="B150" s="97">
        <v>50.5</v>
      </c>
      <c r="D150" s="98"/>
      <c r="E150" s="672"/>
    </row>
    <row r="151" spans="1:8">
      <c r="A151" s="73" t="s">
        <v>439</v>
      </c>
      <c r="B151" s="97">
        <v>51.53</v>
      </c>
      <c r="C151" s="73" t="s">
        <v>240</v>
      </c>
      <c r="D151" s="98">
        <v>24.7</v>
      </c>
      <c r="E151" s="155">
        <f>E152</f>
        <v>23.300999999999998</v>
      </c>
      <c r="F151" s="672">
        <f>D151/E151</f>
        <v>1.0600403416162396</v>
      </c>
      <c r="G151" s="143" t="s">
        <v>240</v>
      </c>
      <c r="H151" s="143"/>
    </row>
    <row r="152" spans="1:8">
      <c r="A152" s="73" t="s">
        <v>442</v>
      </c>
      <c r="B152" s="97">
        <v>51.53</v>
      </c>
      <c r="C152" s="73" t="s">
        <v>240</v>
      </c>
      <c r="D152" s="98">
        <v>31.6</v>
      </c>
      <c r="E152" s="155">
        <v>23.300999999999998</v>
      </c>
      <c r="F152" s="672">
        <f>D152/E152</f>
        <v>1.3561649714604525</v>
      </c>
      <c r="G152" s="143" t="s">
        <v>240</v>
      </c>
      <c r="H152" s="143"/>
    </row>
    <row r="153" spans="1:8">
      <c r="A153" s="73" t="s">
        <v>2239</v>
      </c>
      <c r="B153" s="97">
        <v>51.58</v>
      </c>
      <c r="C153" s="73" t="s">
        <v>240</v>
      </c>
      <c r="D153" s="98">
        <v>33.666666666666664</v>
      </c>
      <c r="E153" s="672">
        <v>24.34</v>
      </c>
      <c r="F153" s="672">
        <v>1.3831826896740618</v>
      </c>
      <c r="G153" s="143" t="s">
        <v>240</v>
      </c>
      <c r="H153" s="143"/>
    </row>
    <row r="154" spans="1:8">
      <c r="A154" s="73" t="s">
        <v>445</v>
      </c>
      <c r="B154" s="97">
        <v>53</v>
      </c>
      <c r="C154" s="53" t="s">
        <v>240</v>
      </c>
      <c r="D154" s="98">
        <v>27</v>
      </c>
      <c r="E154" s="684">
        <v>19.649999999999999</v>
      </c>
      <c r="F154" s="672">
        <f>D154/E154</f>
        <v>1.3740458015267176</v>
      </c>
      <c r="G154" s="143" t="s">
        <v>240</v>
      </c>
      <c r="H154" s="143"/>
    </row>
    <row r="155" spans="1:8">
      <c r="A155" s="73" t="s">
        <v>2240</v>
      </c>
      <c r="B155" s="97">
        <v>53.05</v>
      </c>
      <c r="C155" s="73" t="s">
        <v>2241</v>
      </c>
      <c r="D155" s="98">
        <v>25.95</v>
      </c>
      <c r="E155" s="672">
        <v>19.920000000000002</v>
      </c>
      <c r="F155" s="672">
        <v>1.3027108433734937</v>
      </c>
      <c r="G155" s="143" t="s">
        <v>240</v>
      </c>
      <c r="H155" s="143"/>
    </row>
    <row r="156" spans="1:8">
      <c r="A156" s="73" t="s">
        <v>2242</v>
      </c>
      <c r="B156" s="97">
        <v>53.05</v>
      </c>
      <c r="C156" s="73" t="s">
        <v>2168</v>
      </c>
      <c r="D156" s="98">
        <v>26.7</v>
      </c>
      <c r="E156" s="672">
        <v>20.309999999999999</v>
      </c>
      <c r="F156" s="672">
        <v>1.3146233382570163</v>
      </c>
      <c r="G156" s="143" t="s">
        <v>240</v>
      </c>
      <c r="H156" s="143"/>
    </row>
    <row r="157" spans="1:8">
      <c r="A157" s="53" t="s">
        <v>2243</v>
      </c>
      <c r="B157" s="97"/>
      <c r="D157" s="98"/>
      <c r="E157" s="672"/>
      <c r="G157" s="143" t="s">
        <v>240</v>
      </c>
      <c r="H157" s="143"/>
    </row>
    <row r="158" spans="1:8">
      <c r="A158" s="73" t="s">
        <v>2244</v>
      </c>
      <c r="B158" s="97">
        <v>56.14</v>
      </c>
      <c r="C158" s="73" t="s">
        <v>2245</v>
      </c>
      <c r="D158" s="98">
        <v>28.6</v>
      </c>
      <c r="E158" s="672">
        <v>23.05</v>
      </c>
      <c r="F158" s="672">
        <v>1.2407809110629067</v>
      </c>
      <c r="G158" s="73" t="s">
        <v>2105</v>
      </c>
    </row>
    <row r="159" spans="1:8">
      <c r="A159" s="73" t="s">
        <v>2246</v>
      </c>
      <c r="B159" s="97">
        <v>56.14</v>
      </c>
      <c r="C159" s="73" t="s">
        <v>2247</v>
      </c>
      <c r="D159" s="98">
        <v>25.4</v>
      </c>
      <c r="E159" s="672">
        <v>20.91</v>
      </c>
      <c r="F159" s="672">
        <v>1.214729794356767</v>
      </c>
    </row>
    <row r="160" spans="1:8">
      <c r="A160" s="53" t="s">
        <v>2248</v>
      </c>
      <c r="B160" s="97">
        <v>56.15</v>
      </c>
      <c r="D160" s="98"/>
      <c r="E160" s="672"/>
    </row>
    <row r="161" spans="1:8">
      <c r="A161" s="73" t="s">
        <v>2249</v>
      </c>
      <c r="B161" s="97">
        <v>57.25</v>
      </c>
      <c r="C161" s="73" t="s">
        <v>2099</v>
      </c>
      <c r="D161" s="98">
        <v>35.299999999999997</v>
      </c>
      <c r="E161" s="672">
        <v>26.79</v>
      </c>
      <c r="F161" s="672">
        <v>1.3176558417319895</v>
      </c>
    </row>
    <row r="162" spans="1:8">
      <c r="A162" s="73" t="s">
        <v>2250</v>
      </c>
      <c r="B162" s="97">
        <v>57.8</v>
      </c>
      <c r="C162" s="73" t="s">
        <v>2251</v>
      </c>
      <c r="D162" s="98">
        <v>31.833333333333332</v>
      </c>
      <c r="E162" s="672">
        <v>23.9</v>
      </c>
      <c r="F162" s="672">
        <v>1.3319386331938634</v>
      </c>
      <c r="G162" s="73" t="s">
        <v>2109</v>
      </c>
    </row>
    <row r="163" spans="1:8">
      <c r="A163" s="73" t="s">
        <v>2252</v>
      </c>
      <c r="B163" s="97">
        <v>57.8</v>
      </c>
      <c r="C163" s="73" t="s">
        <v>2253</v>
      </c>
      <c r="D163" s="98">
        <v>32.233333333333341</v>
      </c>
      <c r="E163" s="672">
        <v>24.11</v>
      </c>
      <c r="F163" s="672">
        <v>1.3369279690308313</v>
      </c>
    </row>
    <row r="164" spans="1:8">
      <c r="A164" s="73" t="s">
        <v>2254</v>
      </c>
      <c r="B164" s="97">
        <v>57.93</v>
      </c>
      <c r="C164" s="73" t="s">
        <v>2180</v>
      </c>
      <c r="D164" s="98">
        <v>37.4</v>
      </c>
      <c r="E164" s="672">
        <v>25.23</v>
      </c>
      <c r="F164" s="672">
        <v>1.4823622671422909</v>
      </c>
      <c r="G164" s="73" t="s">
        <v>2255</v>
      </c>
    </row>
    <row r="165" spans="1:8">
      <c r="A165" s="73" t="s">
        <v>2256</v>
      </c>
      <c r="B165" s="97">
        <v>57.93</v>
      </c>
      <c r="C165" s="73" t="s">
        <v>2180</v>
      </c>
      <c r="D165" s="98">
        <v>33.4</v>
      </c>
      <c r="E165" s="672">
        <v>22.56</v>
      </c>
      <c r="F165" s="672">
        <v>1.4804964539007093</v>
      </c>
    </row>
    <row r="166" spans="1:8">
      <c r="A166" s="73" t="s">
        <v>2257</v>
      </c>
      <c r="B166" s="97">
        <v>58.75</v>
      </c>
      <c r="C166" s="73" t="s">
        <v>2258</v>
      </c>
      <c r="D166" s="98">
        <v>39.9</v>
      </c>
      <c r="E166" s="672">
        <v>24.2</v>
      </c>
      <c r="F166" s="672">
        <v>1.6487603305785123</v>
      </c>
      <c r="G166" s="133" t="s">
        <v>2136</v>
      </c>
      <c r="H166" s="133"/>
    </row>
    <row r="167" spans="1:8">
      <c r="A167" s="73" t="s">
        <v>2259</v>
      </c>
      <c r="B167" s="97">
        <v>58.75</v>
      </c>
      <c r="C167" s="73" t="s">
        <v>2143</v>
      </c>
      <c r="D167" s="98">
        <v>39.299999999999997</v>
      </c>
      <c r="E167" s="672">
        <v>23.91</v>
      </c>
      <c r="F167" s="672">
        <v>1.6436637390213298</v>
      </c>
      <c r="G167" s="133"/>
      <c r="H167" s="133"/>
    </row>
    <row r="168" spans="1:8">
      <c r="A168" s="73" t="s">
        <v>470</v>
      </c>
      <c r="B168" s="97">
        <v>59.5</v>
      </c>
      <c r="C168" s="73" t="s">
        <v>2109</v>
      </c>
      <c r="D168" s="98">
        <v>31.3</v>
      </c>
      <c r="E168" s="684">
        <v>21.22</v>
      </c>
      <c r="F168" s="672">
        <f>D168/E168</f>
        <v>1.4750235626767201</v>
      </c>
    </row>
    <row r="169" spans="1:8">
      <c r="A169" s="73" t="s">
        <v>2260</v>
      </c>
      <c r="B169" s="97">
        <v>59.55</v>
      </c>
      <c r="C169" s="73" t="s">
        <v>2261</v>
      </c>
      <c r="D169" s="98">
        <v>35.299999999999997</v>
      </c>
      <c r="E169" s="672">
        <v>23.38</v>
      </c>
      <c r="F169" s="672">
        <v>1.5098374679213002</v>
      </c>
      <c r="G169" s="73" t="s">
        <v>2109</v>
      </c>
    </row>
    <row r="170" spans="1:8">
      <c r="A170" s="73" t="s">
        <v>2262</v>
      </c>
      <c r="B170" s="97">
        <v>59.55</v>
      </c>
      <c r="C170" s="73" t="s">
        <v>2263</v>
      </c>
      <c r="D170" s="98">
        <v>32.650000000000006</v>
      </c>
      <c r="E170" s="672">
        <v>21.22</v>
      </c>
      <c r="F170" s="672">
        <v>1.5386427898209241</v>
      </c>
    </row>
    <row r="171" spans="1:8">
      <c r="A171" s="73" t="s">
        <v>2264</v>
      </c>
      <c r="B171" s="97">
        <v>60.44</v>
      </c>
      <c r="C171" s="73" t="s">
        <v>2089</v>
      </c>
      <c r="D171" s="98">
        <v>26.450000000000003</v>
      </c>
      <c r="E171" s="672">
        <v>21.46</v>
      </c>
      <c r="F171" s="672">
        <v>1.2325256290773532</v>
      </c>
      <c r="G171" s="73" t="s">
        <v>2089</v>
      </c>
    </row>
    <row r="172" spans="1:8">
      <c r="A172" s="73" t="s">
        <v>2265</v>
      </c>
      <c r="B172" s="97">
        <v>60.44</v>
      </c>
      <c r="C172" s="73" t="s">
        <v>2143</v>
      </c>
      <c r="D172" s="98">
        <v>30.7</v>
      </c>
      <c r="E172" s="672">
        <v>22.58</v>
      </c>
      <c r="F172" s="672">
        <v>1.3596102745792737</v>
      </c>
    </row>
    <row r="173" spans="1:8">
      <c r="A173" s="73" t="s">
        <v>2266</v>
      </c>
      <c r="B173" s="97">
        <v>60.84</v>
      </c>
      <c r="C173" s="73" t="s">
        <v>2135</v>
      </c>
      <c r="D173" s="98">
        <v>35.866666666666667</v>
      </c>
      <c r="E173" s="672">
        <v>24.7</v>
      </c>
      <c r="F173" s="672">
        <v>1.4520917678812417</v>
      </c>
      <c r="G173" s="73" t="s">
        <v>2089</v>
      </c>
    </row>
    <row r="174" spans="1:8">
      <c r="A174" s="73" t="s">
        <v>2267</v>
      </c>
      <c r="B174" s="97">
        <v>60.84</v>
      </c>
      <c r="C174" s="73" t="s">
        <v>2135</v>
      </c>
      <c r="D174" s="98">
        <v>36.766666666666666</v>
      </c>
      <c r="E174" s="672">
        <v>23.68</v>
      </c>
      <c r="F174" s="672">
        <v>1.5526463963963963</v>
      </c>
    </row>
    <row r="175" spans="1:8">
      <c r="A175" s="73" t="s">
        <v>2268</v>
      </c>
      <c r="B175" s="97">
        <v>61.25</v>
      </c>
      <c r="C175" s="73" t="s">
        <v>2180</v>
      </c>
      <c r="D175" s="98">
        <v>40.633333333333333</v>
      </c>
      <c r="E175" s="672">
        <v>28.42</v>
      </c>
      <c r="F175" s="672">
        <v>1.4297443115177104</v>
      </c>
      <c r="G175" s="73" t="s">
        <v>2269</v>
      </c>
    </row>
    <row r="176" spans="1:8">
      <c r="A176" s="73" t="s">
        <v>2270</v>
      </c>
      <c r="B176" s="97">
        <v>61.25</v>
      </c>
      <c r="C176" s="73" t="s">
        <v>2099</v>
      </c>
      <c r="D176" s="98">
        <v>38.450000000000003</v>
      </c>
      <c r="E176" s="672">
        <v>26.8</v>
      </c>
      <c r="F176" s="672">
        <v>1.4347014925373136</v>
      </c>
    </row>
    <row r="177" spans="1:8">
      <c r="A177" s="73" t="s">
        <v>2271</v>
      </c>
      <c r="B177" s="97">
        <v>62.85</v>
      </c>
      <c r="C177" s="73" t="s">
        <v>2253</v>
      </c>
      <c r="D177" s="98">
        <v>21.3</v>
      </c>
      <c r="E177" s="672">
        <v>22.02</v>
      </c>
      <c r="F177" s="672">
        <v>0.96730245231607637</v>
      </c>
      <c r="G177" s="73" t="s">
        <v>2109</v>
      </c>
    </row>
    <row r="178" spans="1:8">
      <c r="A178" s="73" t="s">
        <v>2272</v>
      </c>
      <c r="B178" s="97">
        <v>62.85</v>
      </c>
      <c r="C178" s="73" t="s">
        <v>2253</v>
      </c>
      <c r="D178" s="98">
        <v>22.65</v>
      </c>
      <c r="E178" s="672">
        <v>23.63</v>
      </c>
      <c r="F178" s="672">
        <v>0.95852729581041052</v>
      </c>
    </row>
    <row r="179" spans="1:8">
      <c r="A179" s="73" t="s">
        <v>2273</v>
      </c>
      <c r="B179" s="97">
        <v>64.17</v>
      </c>
      <c r="C179" s="73" t="s">
        <v>2135</v>
      </c>
      <c r="D179" s="98">
        <v>35.233333333333334</v>
      </c>
      <c r="E179" s="672">
        <v>21.84</v>
      </c>
      <c r="F179" s="672">
        <v>1.6132478632478633</v>
      </c>
      <c r="G179" s="133" t="s">
        <v>2136</v>
      </c>
      <c r="H179" s="133"/>
    </row>
    <row r="180" spans="1:8">
      <c r="A180" s="73" t="s">
        <v>2274</v>
      </c>
      <c r="B180" s="97">
        <v>64.17</v>
      </c>
      <c r="C180" s="73" t="s">
        <v>2135</v>
      </c>
      <c r="D180" s="98">
        <v>33.700000000000003</v>
      </c>
      <c r="E180" s="672">
        <v>21.22</v>
      </c>
      <c r="F180" s="672">
        <v>1.5881244109330823</v>
      </c>
      <c r="G180" s="133"/>
      <c r="H180" s="133"/>
    </row>
    <row r="181" spans="1:8">
      <c r="A181" s="73" t="s">
        <v>2275</v>
      </c>
      <c r="B181" s="97">
        <v>65.599999999999994</v>
      </c>
      <c r="C181" s="73" t="s">
        <v>2159</v>
      </c>
      <c r="D181" s="98">
        <v>36.9</v>
      </c>
      <c r="E181" s="672">
        <v>27.2</v>
      </c>
      <c r="F181" s="672">
        <v>1.3566176470588236</v>
      </c>
      <c r="G181" s="133" t="s">
        <v>2176</v>
      </c>
      <c r="H181" s="133"/>
    </row>
    <row r="182" spans="1:8">
      <c r="A182" s="73" t="s">
        <v>2276</v>
      </c>
      <c r="B182" s="97">
        <v>65.599999999999994</v>
      </c>
      <c r="C182" s="73" t="s">
        <v>2135</v>
      </c>
      <c r="D182" s="98">
        <v>30.4</v>
      </c>
      <c r="E182" s="672">
        <v>22.44</v>
      </c>
      <c r="F182" s="672">
        <v>1.3547237076648839</v>
      </c>
      <c r="G182" s="133"/>
      <c r="H182" s="133"/>
    </row>
    <row r="183" spans="1:8">
      <c r="A183" s="73" t="s">
        <v>493</v>
      </c>
      <c r="B183" s="97">
        <v>67.350000000000009</v>
      </c>
      <c r="C183" s="73" t="s">
        <v>240</v>
      </c>
      <c r="D183" s="98">
        <v>24.6</v>
      </c>
      <c r="E183" s="155">
        <f>AVERAGE(E178:E182)</f>
        <v>23.265999999999998</v>
      </c>
      <c r="F183" s="672">
        <f>D183/E183</f>
        <v>1.0573368864437378</v>
      </c>
      <c r="G183" s="685" t="s">
        <v>240</v>
      </c>
    </row>
    <row r="184" spans="1:8">
      <c r="A184" s="73" t="s">
        <v>497</v>
      </c>
      <c r="B184" s="97">
        <v>68.38</v>
      </c>
      <c r="C184" s="73" t="s">
        <v>240</v>
      </c>
      <c r="D184" s="98">
        <v>24.3</v>
      </c>
      <c r="E184" s="155">
        <f>E185</f>
        <v>17.920000000000002</v>
      </c>
      <c r="F184" s="672">
        <f>D184/E184</f>
        <v>1.3560267857142856</v>
      </c>
      <c r="G184" s="685" t="s">
        <v>240</v>
      </c>
    </row>
    <row r="185" spans="1:8">
      <c r="A185" s="73" t="s">
        <v>500</v>
      </c>
      <c r="B185" s="97">
        <v>68.38</v>
      </c>
      <c r="C185" s="73" t="s">
        <v>240</v>
      </c>
      <c r="D185" s="98">
        <v>24.8</v>
      </c>
      <c r="E185" s="155">
        <v>17.920000000000002</v>
      </c>
      <c r="F185" s="672">
        <f>D185/E185</f>
        <v>1.3839285714285714</v>
      </c>
    </row>
    <row r="186" spans="1:8">
      <c r="A186" s="73" t="s">
        <v>2277</v>
      </c>
      <c r="B186" s="97">
        <v>69.73</v>
      </c>
      <c r="C186" s="73" t="s">
        <v>2180</v>
      </c>
      <c r="D186" s="98">
        <v>47.133333333333333</v>
      </c>
      <c r="E186" s="672">
        <v>28.08</v>
      </c>
      <c r="F186" s="672">
        <v>1.6785375118708452</v>
      </c>
      <c r="G186" s="73" t="s">
        <v>2109</v>
      </c>
    </row>
    <row r="187" spans="1:8">
      <c r="A187" s="73" t="s">
        <v>2278</v>
      </c>
      <c r="B187" s="97">
        <v>69.73</v>
      </c>
      <c r="C187" s="73" t="s">
        <v>2180</v>
      </c>
      <c r="D187" s="98">
        <v>45.6</v>
      </c>
      <c r="E187" s="672">
        <v>27.5</v>
      </c>
      <c r="F187" s="672">
        <v>1.6581818181818182</v>
      </c>
    </row>
    <row r="188" spans="1:8">
      <c r="A188" s="73" t="s">
        <v>2279</v>
      </c>
      <c r="B188" s="97">
        <v>70.180000000000007</v>
      </c>
      <c r="C188" s="73" t="s">
        <v>2099</v>
      </c>
      <c r="D188" s="98">
        <v>38.9</v>
      </c>
      <c r="E188" s="672">
        <v>27.6</v>
      </c>
      <c r="F188" s="672">
        <v>1.4094202898550723</v>
      </c>
      <c r="G188" s="73" t="s">
        <v>2089</v>
      </c>
    </row>
    <row r="189" spans="1:8">
      <c r="A189" s="73" t="s">
        <v>2280</v>
      </c>
      <c r="B189" s="97">
        <v>70.180000000000007</v>
      </c>
      <c r="C189" s="73" t="s">
        <v>2099</v>
      </c>
      <c r="D189" s="98">
        <v>42.4</v>
      </c>
      <c r="E189" s="672">
        <v>29.36</v>
      </c>
      <c r="F189" s="672">
        <v>1.444141689373297</v>
      </c>
    </row>
    <row r="190" spans="1:8">
      <c r="A190" s="73" t="s">
        <v>2281</v>
      </c>
      <c r="B190" s="97">
        <v>70.7</v>
      </c>
      <c r="C190" s="73" t="s">
        <v>2282</v>
      </c>
      <c r="D190" s="98">
        <v>38.266666666666673</v>
      </c>
      <c r="E190" s="672">
        <v>26.63</v>
      </c>
      <c r="F190" s="672">
        <v>1.4369758417824512</v>
      </c>
      <c r="G190" s="73" t="s">
        <v>2089</v>
      </c>
    </row>
    <row r="191" spans="1:8">
      <c r="A191" s="73" t="s">
        <v>2283</v>
      </c>
      <c r="B191" s="97">
        <v>70.7</v>
      </c>
      <c r="C191" s="73" t="s">
        <v>2284</v>
      </c>
      <c r="D191" s="98">
        <v>33.733333333333334</v>
      </c>
      <c r="E191" s="672">
        <v>26.96</v>
      </c>
      <c r="F191" s="672">
        <v>1.2512363996043521</v>
      </c>
    </row>
    <row r="192" spans="1:8">
      <c r="A192" s="73" t="s">
        <v>2285</v>
      </c>
      <c r="B192" s="97">
        <v>72.599999999999994</v>
      </c>
      <c r="C192" s="73" t="s">
        <v>2099</v>
      </c>
      <c r="D192" s="98">
        <v>32.833333333333336</v>
      </c>
      <c r="E192" s="672">
        <v>22.87</v>
      </c>
      <c r="F192" s="672">
        <v>1.4356507797697129</v>
      </c>
      <c r="G192" s="73" t="s">
        <v>2109</v>
      </c>
    </row>
    <row r="193" spans="1:6">
      <c r="A193" s="73" t="s">
        <v>2286</v>
      </c>
      <c r="B193" s="97">
        <v>72.599999999999994</v>
      </c>
      <c r="C193" s="73" t="s">
        <v>2099</v>
      </c>
      <c r="D193" s="98">
        <v>28.733333333333334</v>
      </c>
      <c r="E193" s="672">
        <v>19.72</v>
      </c>
      <c r="F193" s="672">
        <v>1.4570655848546317</v>
      </c>
    </row>
    <row r="194" spans="1:6">
      <c r="D194" s="9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BQ and HEF-CHrm</vt:lpstr>
      <vt:lpstr>BQ-HEF-AMS</vt:lpstr>
      <vt:lpstr>BQ heights</vt:lpstr>
      <vt:lpstr>BB-chrm</vt:lpstr>
      <vt:lpstr>BB-AMS</vt:lpstr>
      <vt:lpstr>Core-A-ChrM</vt:lpstr>
      <vt:lpstr>Grabowiec-6-chrm</vt:lpstr>
      <vt:lpstr>BardoStawy</vt:lpstr>
      <vt:lpstr>Buttington-magsus</vt:lpstr>
      <vt:lpstr>Bardo stawy magsus</vt:lpstr>
      <vt:lpstr>Backside Beck Magsus</vt:lpstr>
      <vt:lpstr>Backside isotopes</vt:lpstr>
      <vt:lpstr>rockmag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mwh</dc:creator>
  <cp:lastModifiedBy>mwh</cp:lastModifiedBy>
  <dcterms:created xsi:type="dcterms:W3CDTF">2020-10-29T16:30:41Z</dcterms:created>
  <dcterms:modified xsi:type="dcterms:W3CDTF">2021-01-12T10:10:09Z</dcterms:modified>
</cp:coreProperties>
</file>